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chartsheets/sheet7.xml" ContentType="application/vnd.openxmlformats-officedocument.spreadsheetml.chart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4.xml" ContentType="application/vnd.openxmlformats-officedocument.drawing+xml"/>
  <Override PartName="/xl/charts/chart8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6.xml" ContentType="application/vnd.openxmlformats-officedocument.drawing+xml"/>
  <Override PartName="/xl/charts/chart10.xml" ContentType="application/vnd.openxmlformats-officedocument.drawingml.chart+xml"/>
  <Override PartName="/xl/drawings/drawing7.xml" ContentType="application/vnd.openxmlformats-officedocument.drawing+xml"/>
  <Override PartName="/xl/charts/chart11.xml" ContentType="application/vnd.openxmlformats-officedocument.drawingml.chart+xml"/>
  <Override PartName="/xl/drawings/drawing8.xml" ContentType="application/vnd.openxmlformats-officedocument.drawing+xml"/>
  <Override PartName="/xl/charts/chart12.xml" ContentType="application/vnd.openxmlformats-officedocument.drawingml.chart+xml"/>
  <Override PartName="/xl/drawings/drawing9.xml" ContentType="application/vnd.openxmlformats-officedocument.drawing+xml"/>
  <Override PartName="/xl/charts/chart13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10.xml" ContentType="application/vnd.openxmlformats-officedocument.drawing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dmin/Dropbox/SH_Consulting/Projects/UBI simulation/"/>
    </mc:Choice>
  </mc:AlternateContent>
  <xr:revisionPtr revIDLastSave="0" documentId="13_ncr:1_{A6B5EBFD-6D8E-9D4C-B25C-E02F972CA985}" xr6:coauthVersionLast="45" xr6:coauthVersionMax="45" xr10:uidLastSave="{00000000-0000-0000-0000-000000000000}"/>
  <workbookProtection workbookAlgorithmName="SHA-512" workbookHashValue="udW3/Jf1qqqiPp4hTg0lOEHR7Si7oru25yYuMwCsPq1QiX5AelEs6tl3ysrdrlEySGRfv+sb9YauC98UAeflZQ==" workbookSaltValue="s0dwvJeAAJb4ouJLOJGvWQ==" workbookSpinCount="100000" lockStructure="1"/>
  <bookViews>
    <workbookView xWindow="5200" yWindow="460" windowWidth="39040" windowHeight="25640" activeTab="9" xr2:uid="{00000000-000D-0000-FFFF-FFFF00000000}"/>
  </bookViews>
  <sheets>
    <sheet name="Engine" sheetId="1" state="hidden" r:id="rId1"/>
    <sheet name="Graph engine" sheetId="2" state="hidden" r:id="rId2"/>
    <sheet name="DECISIONS INPUT" sheetId="14" r:id="rId3"/>
    <sheet name="Chart State expenses at start" sheetId="3" r:id="rId4"/>
    <sheet name="Chart State Income at start" sheetId="15" r:id="rId5"/>
    <sheet name="Chart 1 State Income" sheetId="19" r:id="rId6"/>
    <sheet name="Chart 2 State expenses" sheetId="6" r:id="rId7"/>
    <sheet name="Chart 3 consumer spending" sheetId="8" r:id="rId8"/>
    <sheet name="Chart 4 Numbers in Work and UBI" sheetId="16" r:id="rId9"/>
    <sheet name="Chart 5 Performance" sheetId="17" r:id="rId10"/>
    <sheet name="Charts Overview" sheetId="12" state="hidden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5" i="14" l="1"/>
  <c r="F25" i="14"/>
  <c r="R27" i="2" l="1"/>
  <c r="R28" i="2"/>
  <c r="R29" i="2"/>
  <c r="X39" i="2"/>
  <c r="B51" i="2"/>
  <c r="X51" i="2" s="1"/>
  <c r="B50" i="2"/>
  <c r="X50" i="2" s="1"/>
  <c r="B49" i="2"/>
  <c r="X49" i="2" s="1"/>
  <c r="B48" i="2"/>
  <c r="X48" i="2" s="1"/>
  <c r="P49" i="2"/>
  <c r="P50" i="2"/>
  <c r="P51" i="2"/>
  <c r="K26" i="2" l="1"/>
  <c r="D110" i="12" s="1"/>
  <c r="B17" i="2"/>
  <c r="B2" i="2" s="1"/>
  <c r="M2" i="2" s="1"/>
  <c r="H29" i="14"/>
  <c r="B21" i="2" s="1"/>
  <c r="K29" i="14"/>
  <c r="L29" i="14"/>
  <c r="K30" i="1" s="1"/>
  <c r="O29" i="14"/>
  <c r="P29" i="14"/>
  <c r="AE41" i="2"/>
  <c r="D16" i="14"/>
  <c r="C11" i="1"/>
  <c r="E35" i="14"/>
  <c r="D29" i="14"/>
  <c r="I29" i="14" s="1"/>
  <c r="D24" i="14"/>
  <c r="F12" i="1" s="1"/>
  <c r="D23" i="14"/>
  <c r="J17" i="2" s="1"/>
  <c r="F21" i="14"/>
  <c r="G21" i="14" s="1"/>
  <c r="H21" i="14" s="1"/>
  <c r="I21" i="14" s="1"/>
  <c r="J21" i="14" s="1"/>
  <c r="K21" i="14" s="1"/>
  <c r="L21" i="14" s="1"/>
  <c r="M21" i="14" s="1"/>
  <c r="N21" i="14" s="1"/>
  <c r="O21" i="14" s="1"/>
  <c r="P21" i="14" s="1"/>
  <c r="F10" i="14"/>
  <c r="D8" i="14"/>
  <c r="D7" i="14"/>
  <c r="F6" i="14"/>
  <c r="F5" i="14"/>
  <c r="F4" i="14"/>
  <c r="B114" i="12"/>
  <c r="L113" i="12"/>
  <c r="K113" i="12"/>
  <c r="J113" i="12"/>
  <c r="G113" i="12"/>
  <c r="F113" i="12"/>
  <c r="E113" i="12"/>
  <c r="B113" i="12"/>
  <c r="L112" i="12"/>
  <c r="K112" i="12"/>
  <c r="J112" i="12"/>
  <c r="G112" i="12"/>
  <c r="F112" i="12"/>
  <c r="E112" i="12"/>
  <c r="B112" i="12"/>
  <c r="L111" i="12"/>
  <c r="K111" i="12"/>
  <c r="J111" i="12"/>
  <c r="G111" i="12"/>
  <c r="F111" i="12"/>
  <c r="E111" i="12"/>
  <c r="B111" i="12"/>
  <c r="G110" i="12"/>
  <c r="B110" i="12"/>
  <c r="G109" i="12"/>
  <c r="B109" i="12"/>
  <c r="G108" i="12"/>
  <c r="B108" i="12"/>
  <c r="G107" i="12"/>
  <c r="B107" i="12"/>
  <c r="G106" i="12"/>
  <c r="B106" i="12"/>
  <c r="G105" i="12"/>
  <c r="B105" i="12"/>
  <c r="G104" i="12"/>
  <c r="B104" i="12"/>
  <c r="G103" i="12"/>
  <c r="B103" i="12"/>
  <c r="G102" i="12"/>
  <c r="B102" i="12"/>
  <c r="H101" i="12"/>
  <c r="G101" i="12"/>
  <c r="F101" i="12"/>
  <c r="B101" i="12"/>
  <c r="L100" i="12"/>
  <c r="K100" i="12"/>
  <c r="J100" i="12"/>
  <c r="I100" i="12"/>
  <c r="H100" i="12"/>
  <c r="G100" i="12"/>
  <c r="F100" i="12"/>
  <c r="E100" i="12"/>
  <c r="D100" i="12"/>
  <c r="C100" i="12"/>
  <c r="B100" i="12"/>
  <c r="E51" i="2"/>
  <c r="C51" i="2"/>
  <c r="E50" i="2"/>
  <c r="C50" i="2"/>
  <c r="E49" i="2"/>
  <c r="C49" i="2"/>
  <c r="P48" i="2"/>
  <c r="P47" i="2"/>
  <c r="B47" i="2"/>
  <c r="X47" i="2" s="1"/>
  <c r="P46" i="2"/>
  <c r="B46" i="2"/>
  <c r="X46" i="2" s="1"/>
  <c r="P45" i="2"/>
  <c r="B45" i="2"/>
  <c r="X45" i="2" s="1"/>
  <c r="P44" i="2"/>
  <c r="B44" i="2"/>
  <c r="X44" i="2" s="1"/>
  <c r="P43" i="2"/>
  <c r="B43" i="2"/>
  <c r="X43" i="2" s="1"/>
  <c r="P42" i="2"/>
  <c r="B42" i="2"/>
  <c r="X42" i="2" s="1"/>
  <c r="P41" i="2"/>
  <c r="B41" i="2"/>
  <c r="X41" i="2" s="1"/>
  <c r="P40" i="2"/>
  <c r="B40" i="2"/>
  <c r="X40" i="2" s="1"/>
  <c r="P39" i="2"/>
  <c r="E39" i="2"/>
  <c r="B39" i="2"/>
  <c r="S38" i="2"/>
  <c r="P38" i="2"/>
  <c r="Q29" i="2"/>
  <c r="O29" i="2"/>
  <c r="H29" i="2"/>
  <c r="Q28" i="2"/>
  <c r="H28" i="2"/>
  <c r="O28" i="2" s="1"/>
  <c r="Q27" i="2"/>
  <c r="O27" i="2"/>
  <c r="H27" i="2"/>
  <c r="R26" i="2"/>
  <c r="Q26" i="2"/>
  <c r="O26" i="2"/>
  <c r="H26" i="2"/>
  <c r="R25" i="2"/>
  <c r="Q25" i="2"/>
  <c r="O25" i="2"/>
  <c r="K25" i="2"/>
  <c r="D109" i="12" s="1"/>
  <c r="H25" i="2"/>
  <c r="Q24" i="2"/>
  <c r="O24" i="2"/>
  <c r="K24" i="2"/>
  <c r="D108" i="12" s="1"/>
  <c r="H24" i="2"/>
  <c r="R24" i="2" s="1"/>
  <c r="Q23" i="2"/>
  <c r="K23" i="2"/>
  <c r="D107" i="12" s="1"/>
  <c r="H23" i="2"/>
  <c r="R22" i="2"/>
  <c r="Q22" i="2"/>
  <c r="O22" i="2"/>
  <c r="K22" i="2"/>
  <c r="H22" i="2"/>
  <c r="Q21" i="2"/>
  <c r="K21" i="2"/>
  <c r="D105" i="12" s="1"/>
  <c r="H21" i="2"/>
  <c r="O21" i="2" s="1"/>
  <c r="Q20" i="2"/>
  <c r="O20" i="2"/>
  <c r="K20" i="2"/>
  <c r="D104" i="12" s="1"/>
  <c r="H20" i="2"/>
  <c r="R20" i="2" s="1"/>
  <c r="Q19" i="2"/>
  <c r="P19" i="2"/>
  <c r="P20" i="2" s="1"/>
  <c r="P21" i="2" s="1"/>
  <c r="P22" i="2" s="1"/>
  <c r="P23" i="2" s="1"/>
  <c r="P24" i="2" s="1"/>
  <c r="P25" i="2" s="1"/>
  <c r="P26" i="2" s="1"/>
  <c r="P27" i="2" s="1"/>
  <c r="P28" i="2" s="1"/>
  <c r="P29" i="2" s="1"/>
  <c r="K19" i="2"/>
  <c r="D103" i="12" s="1"/>
  <c r="H19" i="2"/>
  <c r="R18" i="2"/>
  <c r="Q18" i="2"/>
  <c r="P18" i="2"/>
  <c r="O18" i="2"/>
  <c r="K18" i="2"/>
  <c r="D102" i="12" s="1"/>
  <c r="J18" i="2"/>
  <c r="C102" i="12" s="1"/>
  <c r="H18" i="2"/>
  <c r="Q17" i="2"/>
  <c r="O17" i="2"/>
  <c r="K17" i="2"/>
  <c r="D101" i="12" s="1"/>
  <c r="H17" i="2"/>
  <c r="R17" i="2" s="1"/>
  <c r="D17" i="2"/>
  <c r="J101" i="12" s="1"/>
  <c r="C17" i="2"/>
  <c r="I101" i="12" s="1"/>
  <c r="U16" i="2"/>
  <c r="T16" i="2"/>
  <c r="S16" i="2"/>
  <c r="M16" i="2"/>
  <c r="H16" i="2"/>
  <c r="X15" i="2"/>
  <c r="Z15" i="2" s="1"/>
  <c r="A15" i="2"/>
  <c r="A14" i="2"/>
  <c r="A13" i="2"/>
  <c r="A12" i="2"/>
  <c r="A11" i="2"/>
  <c r="A10" i="2"/>
  <c r="A9" i="2"/>
  <c r="A8" i="2"/>
  <c r="A7" i="2"/>
  <c r="A6" i="2"/>
  <c r="A5" i="2"/>
  <c r="R4" i="2"/>
  <c r="A4" i="2"/>
  <c r="A3" i="2"/>
  <c r="A2" i="2"/>
  <c r="I1" i="2"/>
  <c r="H1" i="2"/>
  <c r="G1" i="2"/>
  <c r="B1" i="2"/>
  <c r="A1" i="2"/>
  <c r="B42" i="1"/>
  <c r="B43" i="1" s="1"/>
  <c r="B44" i="1" s="1"/>
  <c r="B45" i="1" s="1"/>
  <c r="B46" i="1" s="1"/>
  <c r="B47" i="1" s="1"/>
  <c r="B48" i="1" s="1"/>
  <c r="B49" i="1" s="1"/>
  <c r="B50" i="1" s="1"/>
  <c r="B51" i="1" s="1"/>
  <c r="B41" i="1"/>
  <c r="B26" i="1"/>
  <c r="B27" i="1" s="1"/>
  <c r="B28" i="1" s="1"/>
  <c r="B29" i="1" s="1"/>
  <c r="B30" i="1" s="1"/>
  <c r="B31" i="1" s="1"/>
  <c r="B32" i="1" s="1"/>
  <c r="B33" i="1" s="1"/>
  <c r="B34" i="1" s="1"/>
  <c r="H23" i="1"/>
  <c r="F18" i="2" s="1"/>
  <c r="L102" i="12" s="1"/>
  <c r="B23" i="1"/>
  <c r="B24" i="1" s="1"/>
  <c r="B25" i="1" s="1"/>
  <c r="Q22" i="1"/>
  <c r="K22" i="1"/>
  <c r="J22" i="1"/>
  <c r="J23" i="1" s="1"/>
  <c r="H22" i="1"/>
  <c r="F17" i="2" s="1"/>
  <c r="E17" i="1"/>
  <c r="N16" i="1"/>
  <c r="C16" i="1"/>
  <c r="D16" i="1" s="1"/>
  <c r="C15" i="1"/>
  <c r="C14" i="1"/>
  <c r="C13" i="1"/>
  <c r="C12" i="1"/>
  <c r="D12" i="1" s="1"/>
  <c r="R10" i="1"/>
  <c r="C10" i="1"/>
  <c r="D10" i="1" s="1"/>
  <c r="S9" i="1"/>
  <c r="C9" i="1"/>
  <c r="D9" i="1" s="1"/>
  <c r="D14" i="1" s="1"/>
  <c r="J7" i="1"/>
  <c r="D7" i="1"/>
  <c r="C7" i="1"/>
  <c r="V6" i="1"/>
  <c r="C6" i="1"/>
  <c r="C5" i="1" s="1"/>
  <c r="V5" i="1"/>
  <c r="D4" i="1"/>
  <c r="C4" i="1"/>
  <c r="D3" i="1"/>
  <c r="C2" i="2" l="1"/>
  <c r="O2" i="2" s="1"/>
  <c r="N29" i="14"/>
  <c r="B27" i="2" s="1"/>
  <c r="J29" i="14"/>
  <c r="I22" i="1"/>
  <c r="Z22" i="1"/>
  <c r="M29" i="14"/>
  <c r="B26" i="2" s="1"/>
  <c r="H24" i="1"/>
  <c r="F19" i="2" s="1"/>
  <c r="L103" i="12" s="1"/>
  <c r="J19" i="2"/>
  <c r="X24" i="1" s="1"/>
  <c r="K27" i="2"/>
  <c r="D111" i="12" s="1"/>
  <c r="I3" i="2"/>
  <c r="B28" i="2"/>
  <c r="K33" i="1"/>
  <c r="B29" i="2"/>
  <c r="B14" i="2" s="1"/>
  <c r="K34" i="1"/>
  <c r="K31" i="1"/>
  <c r="B25" i="2"/>
  <c r="B10" i="2" s="1"/>
  <c r="D10" i="2" s="1"/>
  <c r="W39" i="2"/>
  <c r="I4" i="2"/>
  <c r="X23" i="1"/>
  <c r="I11" i="2"/>
  <c r="D2" i="2"/>
  <c r="E2" i="2" s="1"/>
  <c r="S39" i="2" s="1"/>
  <c r="I6" i="2"/>
  <c r="I8" i="2"/>
  <c r="I10" i="2"/>
  <c r="I9" i="2"/>
  <c r="F16" i="14"/>
  <c r="G2" i="2"/>
  <c r="F2" i="2" s="1"/>
  <c r="AD22" i="1"/>
  <c r="N22" i="1"/>
  <c r="D15" i="1"/>
  <c r="J24" i="1"/>
  <c r="O23" i="1"/>
  <c r="U18" i="2" s="1"/>
  <c r="D5" i="1"/>
  <c r="C17" i="1" s="1"/>
  <c r="D6" i="1"/>
  <c r="D8" i="1" s="1"/>
  <c r="D13" i="1" s="1"/>
  <c r="R22" i="1"/>
  <c r="R15" i="1"/>
  <c r="D22" i="1"/>
  <c r="K3" i="1" s="1"/>
  <c r="Y22" i="1"/>
  <c r="E17" i="2" s="1"/>
  <c r="K101" i="12" s="1"/>
  <c r="R16" i="2"/>
  <c r="O16" i="2"/>
  <c r="Z29" i="1"/>
  <c r="K26" i="1"/>
  <c r="Z30" i="1"/>
  <c r="I5" i="2"/>
  <c r="M18" i="2"/>
  <c r="D40" i="2" s="1"/>
  <c r="O19" i="2"/>
  <c r="R19" i="2"/>
  <c r="C101" i="12"/>
  <c r="H2" i="2"/>
  <c r="N2" i="2" s="1"/>
  <c r="H105" i="12"/>
  <c r="D21" i="2"/>
  <c r="J105" i="12" s="1"/>
  <c r="C21" i="2"/>
  <c r="O22" i="1"/>
  <c r="U17" i="2" s="1"/>
  <c r="Z25" i="1"/>
  <c r="Z27" i="1"/>
  <c r="L101" i="12"/>
  <c r="M17" i="2"/>
  <c r="D39" i="2" s="1"/>
  <c r="X22" i="1"/>
  <c r="I23" i="1"/>
  <c r="Z24" i="1"/>
  <c r="B6" i="2"/>
  <c r="D106" i="12"/>
  <c r="I7" i="2"/>
  <c r="J20" i="2"/>
  <c r="R21" i="2"/>
  <c r="I2" i="2"/>
  <c r="Y15" i="2"/>
  <c r="H3" i="2"/>
  <c r="O23" i="2"/>
  <c r="R23" i="2"/>
  <c r="G29" i="14"/>
  <c r="F29" i="14"/>
  <c r="E29" i="14"/>
  <c r="K32" i="1" l="1"/>
  <c r="C103" i="12"/>
  <c r="M19" i="2"/>
  <c r="D41" i="2" s="1"/>
  <c r="J25" i="1"/>
  <c r="O24" i="1"/>
  <c r="U19" i="2" s="1"/>
  <c r="H25" i="1"/>
  <c r="I25" i="1" s="1"/>
  <c r="N25" i="1" s="1"/>
  <c r="L2" i="2"/>
  <c r="V39" i="2" s="1"/>
  <c r="P2" i="2"/>
  <c r="Z34" i="1"/>
  <c r="Z33" i="1"/>
  <c r="Z32" i="1"/>
  <c r="Z31" i="1"/>
  <c r="Z23" i="1"/>
  <c r="Z26" i="1"/>
  <c r="Z28" i="1"/>
  <c r="I24" i="1"/>
  <c r="N24" i="1" s="1"/>
  <c r="C3" i="2"/>
  <c r="H4" i="2"/>
  <c r="H109" i="12"/>
  <c r="C25" i="2"/>
  <c r="G10" i="2" s="1"/>
  <c r="D25" i="2"/>
  <c r="J109" i="12" s="1"/>
  <c r="M10" i="2"/>
  <c r="B1" i="1"/>
  <c r="K28" i="2"/>
  <c r="D112" i="12" s="1"/>
  <c r="H111" i="12"/>
  <c r="B12" i="2"/>
  <c r="M14" i="2"/>
  <c r="H113" i="12"/>
  <c r="B13" i="2"/>
  <c r="H112" i="12"/>
  <c r="O3" i="2"/>
  <c r="W40" i="2" s="1"/>
  <c r="C4" i="2"/>
  <c r="K25" i="1"/>
  <c r="B20" i="2"/>
  <c r="D6" i="2"/>
  <c r="M6" i="2"/>
  <c r="J21" i="2"/>
  <c r="Y23" i="1"/>
  <c r="E18" i="2" s="1"/>
  <c r="K102" i="12" s="1"/>
  <c r="N23" i="1"/>
  <c r="AD23" i="1"/>
  <c r="K29" i="1"/>
  <c r="B24" i="2"/>
  <c r="J3" i="1"/>
  <c r="U22" i="1"/>
  <c r="B19" i="2"/>
  <c r="K24" i="1"/>
  <c r="Q24" i="1" s="1"/>
  <c r="G6" i="2"/>
  <c r="I105" i="12"/>
  <c r="S15" i="1"/>
  <c r="T17" i="2"/>
  <c r="P22" i="1"/>
  <c r="B22" i="2"/>
  <c r="K27" i="1"/>
  <c r="B18" i="2"/>
  <c r="K23" i="1"/>
  <c r="Q23" i="1" s="1"/>
  <c r="B23" i="2"/>
  <c r="K28" i="1"/>
  <c r="C104" i="12"/>
  <c r="H5" i="2"/>
  <c r="X25" i="1"/>
  <c r="S22" i="1"/>
  <c r="H26" i="1" l="1"/>
  <c r="H27" i="1" s="1"/>
  <c r="Y24" i="1"/>
  <c r="E19" i="2" s="1"/>
  <c r="K103" i="12" s="1"/>
  <c r="AD24" i="1"/>
  <c r="F20" i="2"/>
  <c r="Y25" i="1"/>
  <c r="E20" i="2" s="1"/>
  <c r="K104" i="12" s="1"/>
  <c r="J12" i="2"/>
  <c r="J13" i="2"/>
  <c r="J14" i="2"/>
  <c r="AD25" i="1"/>
  <c r="Q25" i="1"/>
  <c r="R25" i="1" s="1"/>
  <c r="J26" i="1"/>
  <c r="O25" i="1"/>
  <c r="U20" i="2" s="1"/>
  <c r="I109" i="12"/>
  <c r="F21" i="2"/>
  <c r="L105" i="12" s="1"/>
  <c r="Q26" i="1"/>
  <c r="R26" i="1" s="1"/>
  <c r="P3" i="2"/>
  <c r="J26" i="2"/>
  <c r="D25" i="1"/>
  <c r="K29" i="2"/>
  <c r="M12" i="2"/>
  <c r="D12" i="2"/>
  <c r="M13" i="2"/>
  <c r="D13" i="2"/>
  <c r="C5" i="2"/>
  <c r="O4" i="2"/>
  <c r="F6" i="2"/>
  <c r="E6" i="2"/>
  <c r="S43" i="2" s="1"/>
  <c r="T22" i="1"/>
  <c r="C22" i="1"/>
  <c r="Q15" i="1"/>
  <c r="W22" i="1"/>
  <c r="L3" i="1"/>
  <c r="V22" i="1"/>
  <c r="AA22" i="1"/>
  <c r="D24" i="2"/>
  <c r="J108" i="12" s="1"/>
  <c r="C24" i="2"/>
  <c r="B9" i="2"/>
  <c r="H108" i="12"/>
  <c r="C22" i="2"/>
  <c r="H106" i="12"/>
  <c r="D22" i="2"/>
  <c r="J106" i="12" s="1"/>
  <c r="B7" i="2"/>
  <c r="U25" i="1"/>
  <c r="J5" i="2" s="1"/>
  <c r="T18" i="2"/>
  <c r="P23" i="1"/>
  <c r="AA23" i="1" s="1"/>
  <c r="H107" i="12"/>
  <c r="D23" i="2"/>
  <c r="J107" i="12" s="1"/>
  <c r="B8" i="2"/>
  <c r="C23" i="2"/>
  <c r="R24" i="1"/>
  <c r="U24" i="1" s="1"/>
  <c r="J4" i="2" s="1"/>
  <c r="D24" i="1"/>
  <c r="H104" i="12"/>
  <c r="B5" i="2"/>
  <c r="D20" i="2"/>
  <c r="J104" i="12" s="1"/>
  <c r="C20" i="2"/>
  <c r="L5" i="2" s="1"/>
  <c r="V42" i="2" s="1"/>
  <c r="M3" i="1"/>
  <c r="T19" i="2"/>
  <c r="P24" i="1"/>
  <c r="AA24" i="1" s="1"/>
  <c r="C105" i="12"/>
  <c r="X26" i="1"/>
  <c r="H6" i="2"/>
  <c r="S25" i="1"/>
  <c r="J2" i="2"/>
  <c r="U16" i="1"/>
  <c r="H28" i="1"/>
  <c r="F22" i="2"/>
  <c r="Q27" i="1"/>
  <c r="D23" i="1"/>
  <c r="R23" i="1"/>
  <c r="U23" i="1" s="1"/>
  <c r="J3" i="2" s="1"/>
  <c r="H102" i="12"/>
  <c r="C18" i="2"/>
  <c r="L3" i="2" s="1"/>
  <c r="V40" i="2" s="1"/>
  <c r="B3" i="2"/>
  <c r="D18" i="2"/>
  <c r="J102" i="12" s="1"/>
  <c r="H103" i="12"/>
  <c r="D19" i="2"/>
  <c r="J103" i="12" s="1"/>
  <c r="C19" i="2"/>
  <c r="L4" i="2" s="1"/>
  <c r="V41" i="2" s="1"/>
  <c r="B4" i="2"/>
  <c r="T20" i="2"/>
  <c r="C26" i="2"/>
  <c r="H110" i="12"/>
  <c r="D26" i="2"/>
  <c r="J110" i="12" s="1"/>
  <c r="B11" i="2"/>
  <c r="J22" i="2"/>
  <c r="P25" i="1" l="1"/>
  <c r="D26" i="1"/>
  <c r="M21" i="2"/>
  <c r="D43" i="2" s="1"/>
  <c r="M20" i="2"/>
  <c r="D42" i="2" s="1"/>
  <c r="L104" i="12"/>
  <c r="J27" i="1"/>
  <c r="O26" i="1"/>
  <c r="U21" i="2" s="1"/>
  <c r="I26" i="1"/>
  <c r="C110" i="12"/>
  <c r="H11" i="2"/>
  <c r="L11" i="2" s="1"/>
  <c r="V48" i="2" s="1"/>
  <c r="X31" i="1"/>
  <c r="J27" i="2"/>
  <c r="C27" i="2"/>
  <c r="D113" i="12"/>
  <c r="D14" i="2"/>
  <c r="W41" i="2"/>
  <c r="P4" i="2"/>
  <c r="C6" i="2"/>
  <c r="O5" i="2"/>
  <c r="D4" i="2"/>
  <c r="E4" i="2" s="1"/>
  <c r="S41" i="2" s="1"/>
  <c r="M4" i="2"/>
  <c r="N4" i="2" s="1"/>
  <c r="S23" i="1"/>
  <c r="D3" i="2"/>
  <c r="E3" i="2" s="1"/>
  <c r="S40" i="2" s="1"/>
  <c r="M3" i="2"/>
  <c r="N3" i="2" s="1"/>
  <c r="D5" i="2"/>
  <c r="E5" i="2" s="1"/>
  <c r="S42" i="2" s="1"/>
  <c r="M5" i="2"/>
  <c r="N5" i="2" s="1"/>
  <c r="D9" i="2"/>
  <c r="M9" i="2"/>
  <c r="D11" i="2"/>
  <c r="E11" i="2" s="1"/>
  <c r="S48" i="2" s="1"/>
  <c r="M11" i="2"/>
  <c r="D7" i="2"/>
  <c r="E7" i="2" s="1"/>
  <c r="S44" i="2" s="1"/>
  <c r="M7" i="2"/>
  <c r="D8" i="2"/>
  <c r="M8" i="2"/>
  <c r="N6" i="2"/>
  <c r="L6" i="2"/>
  <c r="V43" i="2" s="1"/>
  <c r="U26" i="1"/>
  <c r="J6" i="2" s="1"/>
  <c r="C106" i="12"/>
  <c r="H7" i="2"/>
  <c r="L7" i="2" s="1"/>
  <c r="V44" i="2" s="1"/>
  <c r="X27" i="1"/>
  <c r="W25" i="1"/>
  <c r="C25" i="1"/>
  <c r="V25" i="1"/>
  <c r="T25" i="1"/>
  <c r="AA25" i="1"/>
  <c r="R27" i="1"/>
  <c r="D27" i="1"/>
  <c r="J23" i="2"/>
  <c r="I107" i="12"/>
  <c r="G8" i="2"/>
  <c r="C23" i="1"/>
  <c r="T23" i="1"/>
  <c r="W23" i="1"/>
  <c r="V23" i="1"/>
  <c r="W13" i="1"/>
  <c r="W14" i="1" s="1"/>
  <c r="K2" i="2"/>
  <c r="V16" i="1"/>
  <c r="E22" i="1"/>
  <c r="F22" i="1" s="1"/>
  <c r="S26" i="1"/>
  <c r="S24" i="1"/>
  <c r="I108" i="12"/>
  <c r="G9" i="2"/>
  <c r="I102" i="12"/>
  <c r="G3" i="2"/>
  <c r="F3" i="2" s="1"/>
  <c r="I104" i="12"/>
  <c r="G5" i="2"/>
  <c r="F5" i="2" s="1"/>
  <c r="L106" i="12"/>
  <c r="M22" i="2"/>
  <c r="D44" i="2" s="1"/>
  <c r="I110" i="12"/>
  <c r="G11" i="2"/>
  <c r="F11" i="2" s="1"/>
  <c r="I103" i="12"/>
  <c r="G4" i="2"/>
  <c r="F4" i="2" s="1"/>
  <c r="F23" i="2"/>
  <c r="Q28" i="1"/>
  <c r="H29" i="1"/>
  <c r="V24" i="1"/>
  <c r="T24" i="1"/>
  <c r="W24" i="1"/>
  <c r="C24" i="1"/>
  <c r="P3" i="1"/>
  <c r="N3" i="1"/>
  <c r="I106" i="12"/>
  <c r="G7" i="2"/>
  <c r="F7" i="2" s="1"/>
  <c r="AD26" i="1" l="1"/>
  <c r="Y26" i="1"/>
  <c r="E21" i="2" s="1"/>
  <c r="K105" i="12" s="1"/>
  <c r="N26" i="1"/>
  <c r="J28" i="1"/>
  <c r="O27" i="1"/>
  <c r="U22" i="2" s="1"/>
  <c r="I27" i="1"/>
  <c r="J29" i="2"/>
  <c r="J28" i="2"/>
  <c r="C111" i="12"/>
  <c r="X32" i="1"/>
  <c r="H12" i="2"/>
  <c r="N12" i="2" s="1"/>
  <c r="N11" i="2"/>
  <c r="E12" i="2"/>
  <c r="S49" i="2" s="1"/>
  <c r="G12" i="2"/>
  <c r="F12" i="2" s="1"/>
  <c r="L12" i="2"/>
  <c r="V49" i="2" s="1"/>
  <c r="I111" i="12"/>
  <c r="C28" i="2"/>
  <c r="K3" i="2"/>
  <c r="K12" i="2"/>
  <c r="K13" i="2"/>
  <c r="K14" i="2"/>
  <c r="E8" i="2"/>
  <c r="S45" i="2" s="1"/>
  <c r="C7" i="2"/>
  <c r="O6" i="2"/>
  <c r="W42" i="2"/>
  <c r="P5" i="2"/>
  <c r="K4" i="2"/>
  <c r="N7" i="2"/>
  <c r="F8" i="2"/>
  <c r="U27" i="1"/>
  <c r="J7" i="2" s="1"/>
  <c r="L107" i="12"/>
  <c r="M23" i="2"/>
  <c r="D45" i="2" s="1"/>
  <c r="J24" i="2"/>
  <c r="E9" i="2" s="1"/>
  <c r="S46" i="2" s="1"/>
  <c r="J25" i="2"/>
  <c r="E10" i="2" s="1"/>
  <c r="S47" i="2" s="1"/>
  <c r="S27" i="1"/>
  <c r="K5" i="2"/>
  <c r="F24" i="2"/>
  <c r="H30" i="1"/>
  <c r="Q29" i="1"/>
  <c r="C107" i="12"/>
  <c r="H8" i="2"/>
  <c r="X28" i="1"/>
  <c r="E24" i="1"/>
  <c r="F24" i="1" s="1"/>
  <c r="D28" i="1"/>
  <c r="R28" i="1"/>
  <c r="Y17" i="2"/>
  <c r="AB17" i="2"/>
  <c r="L22" i="1"/>
  <c r="M22" i="1" s="1"/>
  <c r="AG22" i="1"/>
  <c r="O3" i="1"/>
  <c r="E23" i="1"/>
  <c r="F23" i="1" s="1"/>
  <c r="E25" i="1"/>
  <c r="F25" i="1" s="1"/>
  <c r="J29" i="1" l="1"/>
  <c r="O28" i="1"/>
  <c r="U23" i="2" s="1"/>
  <c r="I28" i="1"/>
  <c r="T21" i="2"/>
  <c r="P26" i="1"/>
  <c r="AD27" i="1"/>
  <c r="N27" i="1"/>
  <c r="Y27" i="1"/>
  <c r="E22" i="2" s="1"/>
  <c r="K106" i="12" s="1"/>
  <c r="C112" i="12"/>
  <c r="H13" i="2"/>
  <c r="N13" i="2" s="1"/>
  <c r="X33" i="1"/>
  <c r="E13" i="2"/>
  <c r="S50" i="2" s="1"/>
  <c r="C113" i="12"/>
  <c r="X34" i="1"/>
  <c r="H14" i="2"/>
  <c r="N14" i="2" s="1"/>
  <c r="E14" i="2"/>
  <c r="S51" i="2" s="1"/>
  <c r="C29" i="2"/>
  <c r="I112" i="12"/>
  <c r="G13" i="2"/>
  <c r="F13" i="2" s="1"/>
  <c r="H34" i="1"/>
  <c r="H33" i="1"/>
  <c r="H32" i="1"/>
  <c r="W43" i="2"/>
  <c r="P6" i="2"/>
  <c r="C8" i="2"/>
  <c r="O7" i="2"/>
  <c r="N8" i="2"/>
  <c r="L8" i="2"/>
  <c r="V45" i="2" s="1"/>
  <c r="U28" i="1"/>
  <c r="J8" i="2" s="1"/>
  <c r="Y19" i="2"/>
  <c r="AG24" i="1"/>
  <c r="L24" i="1"/>
  <c r="M24" i="1" s="1"/>
  <c r="AB24" i="1" s="1"/>
  <c r="AC24" i="1" s="1"/>
  <c r="AI24" i="1" s="1"/>
  <c r="G24" i="1"/>
  <c r="I19" i="2" s="1"/>
  <c r="Y20" i="2"/>
  <c r="G25" i="1"/>
  <c r="I20" i="2" s="1"/>
  <c r="AG25" i="1"/>
  <c r="L25" i="1"/>
  <c r="M25" i="1" s="1"/>
  <c r="AB25" i="1" s="1"/>
  <c r="AC25" i="1" s="1"/>
  <c r="AI25" i="1" s="1"/>
  <c r="F25" i="2"/>
  <c r="Q30" i="1"/>
  <c r="H31" i="1"/>
  <c r="C108" i="12"/>
  <c r="H9" i="2"/>
  <c r="X29" i="1"/>
  <c r="AE22" i="1"/>
  <c r="S17" i="2"/>
  <c r="X17" i="2" s="1"/>
  <c r="AF22" i="1"/>
  <c r="AH22" i="1" s="1"/>
  <c r="S28" i="1"/>
  <c r="R29" i="1"/>
  <c r="D29" i="1"/>
  <c r="M24" i="2"/>
  <c r="D46" i="2" s="1"/>
  <c r="L108" i="12"/>
  <c r="Y18" i="2"/>
  <c r="AG23" i="1"/>
  <c r="L23" i="1"/>
  <c r="M23" i="1" s="1"/>
  <c r="G23" i="1"/>
  <c r="I18" i="2" s="1"/>
  <c r="C109" i="12"/>
  <c r="X30" i="1"/>
  <c r="H10" i="2"/>
  <c r="F10" i="2"/>
  <c r="AB22" i="1"/>
  <c r="AC22" i="1" s="1"/>
  <c r="AI22" i="1" s="1"/>
  <c r="L17" i="2"/>
  <c r="F9" i="2"/>
  <c r="L13" i="2" l="1"/>
  <c r="V50" i="2" s="1"/>
  <c r="P27" i="1"/>
  <c r="T22" i="2"/>
  <c r="AD28" i="1"/>
  <c r="Y28" i="1"/>
  <c r="E23" i="2" s="1"/>
  <c r="K107" i="12" s="1"/>
  <c r="N28" i="1"/>
  <c r="T26" i="1"/>
  <c r="AA26" i="1"/>
  <c r="W26" i="1"/>
  <c r="C26" i="1"/>
  <c r="E26" i="1" s="1"/>
  <c r="F26" i="1" s="1"/>
  <c r="G26" i="1" s="1"/>
  <c r="I21" i="2" s="1"/>
  <c r="V26" i="1"/>
  <c r="K6" i="2" s="1"/>
  <c r="J30" i="1"/>
  <c r="O29" i="1"/>
  <c r="U24" i="2" s="1"/>
  <c r="I29" i="1"/>
  <c r="G14" i="2"/>
  <c r="F14" i="2" s="1"/>
  <c r="L14" i="2"/>
  <c r="V51" i="2" s="1"/>
  <c r="I113" i="12"/>
  <c r="Q32" i="1"/>
  <c r="Q33" i="1"/>
  <c r="Q34" i="1"/>
  <c r="W44" i="2"/>
  <c r="P7" i="2"/>
  <c r="C9" i="2"/>
  <c r="O8" i="2"/>
  <c r="U29" i="1"/>
  <c r="J9" i="2" s="1"/>
  <c r="N9" i="2"/>
  <c r="L9" i="2"/>
  <c r="V46" i="2" s="1"/>
  <c r="N10" i="2"/>
  <c r="L10" i="2"/>
  <c r="V47" i="2" s="1"/>
  <c r="W17" i="2"/>
  <c r="AJ22" i="1"/>
  <c r="Q39" i="2" s="1"/>
  <c r="R39" i="2" s="1"/>
  <c r="R40" i="2" s="1"/>
  <c r="R41" i="2" s="1"/>
  <c r="R42" i="2" s="1"/>
  <c r="R43" i="2" s="1"/>
  <c r="R44" i="2" s="1"/>
  <c r="R45" i="2" s="1"/>
  <c r="R46" i="2" s="1"/>
  <c r="R47" i="2" s="1"/>
  <c r="R48" i="2" s="1"/>
  <c r="R49" i="2" s="1"/>
  <c r="R50" i="2" s="1"/>
  <c r="R51" i="2" s="1"/>
  <c r="AJ24" i="1"/>
  <c r="Q41" i="2" s="1"/>
  <c r="AJ25" i="1"/>
  <c r="Q42" i="2" s="1"/>
  <c r="L26" i="1"/>
  <c r="M26" i="1" s="1"/>
  <c r="AB26" i="1" s="1"/>
  <c r="D30" i="1"/>
  <c r="R30" i="1"/>
  <c r="U30" i="1" s="1"/>
  <c r="J10" i="2" s="1"/>
  <c r="E42" i="2"/>
  <c r="F104" i="12"/>
  <c r="E40" i="2"/>
  <c r="F102" i="12"/>
  <c r="L18" i="2"/>
  <c r="S19" i="2"/>
  <c r="V19" i="2" s="1"/>
  <c r="AE24" i="1"/>
  <c r="AF24" i="1"/>
  <c r="AH24" i="1" s="1"/>
  <c r="S18" i="2"/>
  <c r="X18" i="2" s="1"/>
  <c r="AE23" i="1"/>
  <c r="AF23" i="1"/>
  <c r="AH23" i="1" s="1"/>
  <c r="S29" i="1"/>
  <c r="V17" i="2"/>
  <c r="AB23" i="1"/>
  <c r="AC23" i="1" s="1"/>
  <c r="AI23" i="1" s="1"/>
  <c r="AJ23" i="1" s="1"/>
  <c r="Q40" i="2" s="1"/>
  <c r="F26" i="2"/>
  <c r="Q31" i="1"/>
  <c r="L109" i="12"/>
  <c r="M25" i="2"/>
  <c r="D47" i="2" s="1"/>
  <c r="S20" i="2"/>
  <c r="V20" i="2" s="1"/>
  <c r="AE25" i="1"/>
  <c r="AF25" i="1"/>
  <c r="AH25" i="1" s="1"/>
  <c r="L20" i="2"/>
  <c r="C39" i="2"/>
  <c r="E101" i="12"/>
  <c r="N17" i="2"/>
  <c r="F103" i="12"/>
  <c r="E41" i="2"/>
  <c r="L19" i="2"/>
  <c r="AG26" i="1" l="1"/>
  <c r="Y21" i="2"/>
  <c r="J31" i="1"/>
  <c r="O30" i="1"/>
  <c r="U25" i="2" s="1"/>
  <c r="I30" i="1"/>
  <c r="AC26" i="1"/>
  <c r="AI26" i="1" s="1"/>
  <c r="AJ26" i="1" s="1"/>
  <c r="Q43" i="2" s="1"/>
  <c r="AD29" i="1"/>
  <c r="N29" i="1"/>
  <c r="Y29" i="1"/>
  <c r="E24" i="2" s="1"/>
  <c r="K108" i="12" s="1"/>
  <c r="T23" i="2"/>
  <c r="P28" i="1"/>
  <c r="T27" i="1"/>
  <c r="AA27" i="1"/>
  <c r="W27" i="1"/>
  <c r="C27" i="1"/>
  <c r="E27" i="1" s="1"/>
  <c r="F27" i="1" s="1"/>
  <c r="G27" i="1" s="1"/>
  <c r="I22" i="2" s="1"/>
  <c r="V27" i="1"/>
  <c r="K7" i="2" s="1"/>
  <c r="D32" i="1"/>
  <c r="R32" i="1"/>
  <c r="D33" i="1"/>
  <c r="R33" i="1"/>
  <c r="D34" i="1"/>
  <c r="R34" i="1"/>
  <c r="W45" i="2"/>
  <c r="P8" i="2"/>
  <c r="C10" i="2"/>
  <c r="O9" i="2"/>
  <c r="AA17" i="2"/>
  <c r="T39" i="2" s="1"/>
  <c r="U39" i="2" s="1"/>
  <c r="U40" i="2" s="1"/>
  <c r="U41" i="2" s="1"/>
  <c r="U42" i="2" s="1"/>
  <c r="U43" i="2" s="1"/>
  <c r="U44" i="2" s="1"/>
  <c r="U45" i="2" s="1"/>
  <c r="U46" i="2" s="1"/>
  <c r="U47" i="2" s="1"/>
  <c r="U48" i="2" s="1"/>
  <c r="U49" i="2" s="1"/>
  <c r="U50" i="2" s="1"/>
  <c r="U51" i="2" s="1"/>
  <c r="W20" i="2"/>
  <c r="X20" i="2"/>
  <c r="W19" i="2"/>
  <c r="X19" i="2"/>
  <c r="Z17" i="2"/>
  <c r="E103" i="12"/>
  <c r="C41" i="2"/>
  <c r="E104" i="12"/>
  <c r="C42" i="2"/>
  <c r="L110" i="12"/>
  <c r="M26" i="2"/>
  <c r="D48" i="2" s="1"/>
  <c r="N20" i="2"/>
  <c r="S30" i="1"/>
  <c r="N19" i="2"/>
  <c r="E102" i="12"/>
  <c r="C40" i="2"/>
  <c r="N18" i="2"/>
  <c r="W18" i="2"/>
  <c r="S21" i="2"/>
  <c r="X21" i="2" s="1"/>
  <c r="AE26" i="1"/>
  <c r="AF26" i="1"/>
  <c r="AH26" i="1" s="1"/>
  <c r="R31" i="1"/>
  <c r="U31" i="1" s="1"/>
  <c r="J11" i="2" s="1"/>
  <c r="D31" i="1"/>
  <c r="V18" i="2"/>
  <c r="E43" i="2"/>
  <c r="F105" i="12"/>
  <c r="L21" i="2"/>
  <c r="L27" i="1" l="1"/>
  <c r="M27" i="1" s="1"/>
  <c r="AG27" i="1"/>
  <c r="Y22" i="2"/>
  <c r="L22" i="2" s="1"/>
  <c r="N22" i="2" s="1"/>
  <c r="N30" i="1"/>
  <c r="Y30" i="1"/>
  <c r="E25" i="2" s="1"/>
  <c r="K109" i="12" s="1"/>
  <c r="AD30" i="1"/>
  <c r="P29" i="1"/>
  <c r="T24" i="2"/>
  <c r="W28" i="1"/>
  <c r="T28" i="1"/>
  <c r="AA28" i="1"/>
  <c r="C28" i="1"/>
  <c r="E28" i="1" s="1"/>
  <c r="F28" i="1" s="1"/>
  <c r="L28" i="1" s="1"/>
  <c r="M28" i="1" s="1"/>
  <c r="V28" i="1"/>
  <c r="K8" i="2" s="1"/>
  <c r="J32" i="1"/>
  <c r="O31" i="1"/>
  <c r="U26" i="2" s="1"/>
  <c r="I31" i="1"/>
  <c r="Z19" i="2"/>
  <c r="Z20" i="2"/>
  <c r="AA19" i="2"/>
  <c r="T41" i="2" s="1"/>
  <c r="AA20" i="2"/>
  <c r="T42" i="2" s="1"/>
  <c r="W46" i="2"/>
  <c r="P9" i="2"/>
  <c r="C11" i="2"/>
  <c r="O10" i="2"/>
  <c r="Z18" i="2"/>
  <c r="E44" i="2"/>
  <c r="F106" i="12"/>
  <c r="S22" i="2"/>
  <c r="AE27" i="1"/>
  <c r="AF27" i="1"/>
  <c r="AH27" i="1" s="1"/>
  <c r="AG28" i="1"/>
  <c r="C43" i="2"/>
  <c r="E105" i="12"/>
  <c r="N21" i="2"/>
  <c r="AB27" i="1"/>
  <c r="AC27" i="1" s="1"/>
  <c r="AI27" i="1" s="1"/>
  <c r="AJ27" i="1" s="1"/>
  <c r="Q44" i="2" s="1"/>
  <c r="V21" i="2"/>
  <c r="AA18" i="2"/>
  <c r="T40" i="2" s="1"/>
  <c r="S31" i="1"/>
  <c r="W21" i="2"/>
  <c r="Y23" i="2" l="1"/>
  <c r="G28" i="1"/>
  <c r="I23" i="2" s="1"/>
  <c r="X22" i="2"/>
  <c r="C29" i="1"/>
  <c r="E29" i="1" s="1"/>
  <c r="F29" i="1" s="1"/>
  <c r="G29" i="1" s="1"/>
  <c r="I24" i="2" s="1"/>
  <c r="T29" i="1"/>
  <c r="AA29" i="1"/>
  <c r="V29" i="1"/>
  <c r="K9" i="2" s="1"/>
  <c r="W29" i="1"/>
  <c r="J33" i="1"/>
  <c r="O32" i="1"/>
  <c r="U27" i="2" s="1"/>
  <c r="I32" i="1"/>
  <c r="N31" i="1"/>
  <c r="Y31" i="1"/>
  <c r="E26" i="2" s="1"/>
  <c r="K110" i="12" s="1"/>
  <c r="AD31" i="1"/>
  <c r="T25" i="2"/>
  <c r="P30" i="1"/>
  <c r="W47" i="2"/>
  <c r="P10" i="2"/>
  <c r="C12" i="2"/>
  <c r="O11" i="2"/>
  <c r="Z21" i="2"/>
  <c r="V22" i="2"/>
  <c r="AA21" i="2"/>
  <c r="T43" i="2" s="1"/>
  <c r="L23" i="2"/>
  <c r="W22" i="2"/>
  <c r="F107" i="12"/>
  <c r="E45" i="2"/>
  <c r="S23" i="2"/>
  <c r="W23" i="2" s="1"/>
  <c r="AE28" i="1"/>
  <c r="AF28" i="1"/>
  <c r="AH28" i="1" s="1"/>
  <c r="E106" i="12"/>
  <c r="C44" i="2"/>
  <c r="AB28" i="1"/>
  <c r="AC28" i="1" s="1"/>
  <c r="AI28" i="1" s="1"/>
  <c r="AJ28" i="1" s="1"/>
  <c r="Q45" i="2" s="1"/>
  <c r="Y24" i="2" l="1"/>
  <c r="AG29" i="1"/>
  <c r="L29" i="1"/>
  <c r="M29" i="1" s="1"/>
  <c r="AB29" i="1" s="1"/>
  <c r="AC29" i="1" s="1"/>
  <c r="AI29" i="1" s="1"/>
  <c r="AJ29" i="1" s="1"/>
  <c r="Q46" i="2" s="1"/>
  <c r="AD32" i="1"/>
  <c r="Y32" i="1"/>
  <c r="N32" i="1"/>
  <c r="J34" i="1"/>
  <c r="O33" i="1"/>
  <c r="U28" i="2" s="1"/>
  <c r="I33" i="1"/>
  <c r="C30" i="1"/>
  <c r="E30" i="1" s="1"/>
  <c r="F30" i="1" s="1"/>
  <c r="Y25" i="2" s="1"/>
  <c r="W30" i="1"/>
  <c r="T30" i="1"/>
  <c r="AA30" i="1"/>
  <c r="V30" i="1"/>
  <c r="K10" i="2" s="1"/>
  <c r="T26" i="2"/>
  <c r="P31" i="1"/>
  <c r="W48" i="2"/>
  <c r="P11" i="2"/>
  <c r="C13" i="2"/>
  <c r="O12" i="2"/>
  <c r="AA22" i="2"/>
  <c r="T44" i="2" s="1"/>
  <c r="Z22" i="2"/>
  <c r="X23" i="2"/>
  <c r="E46" i="2"/>
  <c r="F108" i="12"/>
  <c r="E107" i="12"/>
  <c r="C45" i="2"/>
  <c r="N23" i="2"/>
  <c r="V23" i="2"/>
  <c r="AE29" i="1"/>
  <c r="S24" i="2"/>
  <c r="W24" i="2" s="1"/>
  <c r="L24" i="2"/>
  <c r="N24" i="2" s="1"/>
  <c r="AF29" i="1" l="1"/>
  <c r="AH29" i="1" s="1"/>
  <c r="G30" i="1"/>
  <c r="I25" i="2" s="1"/>
  <c r="L30" i="1"/>
  <c r="M30" i="1" s="1"/>
  <c r="AB30" i="1" s="1"/>
  <c r="AC30" i="1" s="1"/>
  <c r="AI30" i="1" s="1"/>
  <c r="AJ30" i="1" s="1"/>
  <c r="Q47" i="2" s="1"/>
  <c r="T27" i="2"/>
  <c r="P32" i="1"/>
  <c r="O34" i="1"/>
  <c r="U29" i="2" s="1"/>
  <c r="I34" i="1"/>
  <c r="AD33" i="1"/>
  <c r="Y33" i="1"/>
  <c r="N33" i="1"/>
  <c r="AG30" i="1"/>
  <c r="V31" i="1"/>
  <c r="K11" i="2" s="1"/>
  <c r="C31" i="1"/>
  <c r="E31" i="1" s="1"/>
  <c r="F31" i="1" s="1"/>
  <c r="AG31" i="1" s="1"/>
  <c r="T31" i="1"/>
  <c r="AA31" i="1"/>
  <c r="W31" i="1"/>
  <c r="P12" i="2"/>
  <c r="W49" i="2"/>
  <c r="C14" i="2"/>
  <c r="O14" i="2" s="1"/>
  <c r="O13" i="2"/>
  <c r="Z23" i="2"/>
  <c r="X24" i="2"/>
  <c r="E108" i="12"/>
  <c r="C46" i="2"/>
  <c r="V24" i="2"/>
  <c r="AA23" i="2"/>
  <c r="T45" i="2" s="1"/>
  <c r="E47" i="2"/>
  <c r="F109" i="12"/>
  <c r="L25" i="2"/>
  <c r="S25" i="2" l="1"/>
  <c r="V25" i="2" s="1"/>
  <c r="AF30" i="1"/>
  <c r="AH30" i="1"/>
  <c r="AE30" i="1"/>
  <c r="L31" i="1"/>
  <c r="M31" i="1" s="1"/>
  <c r="AE31" i="1" s="1"/>
  <c r="G31" i="1"/>
  <c r="I26" i="2" s="1"/>
  <c r="E48" i="2" s="1"/>
  <c r="C32" i="1"/>
  <c r="E32" i="1" s="1"/>
  <c r="F32" i="1" s="1"/>
  <c r="AA32" i="1"/>
  <c r="T28" i="2"/>
  <c r="P33" i="1"/>
  <c r="Y26" i="2"/>
  <c r="L26" i="2" s="1"/>
  <c r="AD34" i="1"/>
  <c r="N34" i="1"/>
  <c r="Y34" i="1"/>
  <c r="P14" i="2"/>
  <c r="W51" i="2"/>
  <c r="P13" i="2"/>
  <c r="W50" i="2"/>
  <c r="W25" i="2"/>
  <c r="X25" i="2"/>
  <c r="Z24" i="2"/>
  <c r="C47" i="2"/>
  <c r="E109" i="12"/>
  <c r="N25" i="2"/>
  <c r="AA24" i="2"/>
  <c r="T46" i="2" s="1"/>
  <c r="S26" i="2" l="1"/>
  <c r="N26" i="2"/>
  <c r="AB31" i="1"/>
  <c r="AC31" i="1" s="1"/>
  <c r="AI31" i="1" s="1"/>
  <c r="AJ31" i="1" s="1"/>
  <c r="Q48" i="2" s="1"/>
  <c r="AF31" i="1"/>
  <c r="AH31" i="1" s="1"/>
  <c r="F110" i="12"/>
  <c r="Z25" i="2"/>
  <c r="T29" i="2"/>
  <c r="P34" i="1"/>
  <c r="C33" i="1"/>
  <c r="E33" i="1" s="1"/>
  <c r="F33" i="1" s="1"/>
  <c r="AA33" i="1"/>
  <c r="G32" i="1"/>
  <c r="L32" i="1"/>
  <c r="M32" i="1" s="1"/>
  <c r="Y27" i="2"/>
  <c r="AG32" i="1"/>
  <c r="AA25" i="2"/>
  <c r="T47" i="2" s="1"/>
  <c r="V26" i="2"/>
  <c r="W26" i="2"/>
  <c r="E110" i="12"/>
  <c r="C48" i="2"/>
  <c r="X26" i="2"/>
  <c r="S27" i="2" l="1"/>
  <c r="W27" i="2" s="1"/>
  <c r="AE32" i="1"/>
  <c r="AF32" i="1"/>
  <c r="AH32" i="1" s="1"/>
  <c r="L33" i="1"/>
  <c r="M33" i="1" s="1"/>
  <c r="AB33" i="1" s="1"/>
  <c r="AC33" i="1" s="1"/>
  <c r="AI33" i="1" s="1"/>
  <c r="AJ33" i="1" s="1"/>
  <c r="Q50" i="2" s="1"/>
  <c r="AG33" i="1"/>
  <c r="Y28" i="2"/>
  <c r="G33" i="1"/>
  <c r="AA34" i="1"/>
  <c r="C34" i="1"/>
  <c r="E34" i="1" s="1"/>
  <c r="F34" i="1" s="1"/>
  <c r="AB32" i="1"/>
  <c r="AC32" i="1" s="1"/>
  <c r="AI32" i="1" s="1"/>
  <c r="AJ32" i="1" s="1"/>
  <c r="Q49" i="2" s="1"/>
  <c r="AA26" i="2"/>
  <c r="T48" i="2" s="1"/>
  <c r="Z26" i="2"/>
  <c r="X27" i="2" l="1"/>
  <c r="G34" i="1"/>
  <c r="Y29" i="2"/>
  <c r="AG34" i="1"/>
  <c r="L34" i="1"/>
  <c r="M34" i="1" s="1"/>
  <c r="AB34" i="1" s="1"/>
  <c r="AC34" i="1" s="1"/>
  <c r="AI34" i="1" s="1"/>
  <c r="AJ34" i="1" s="1"/>
  <c r="Q51" i="2" s="1"/>
  <c r="AE33" i="1"/>
  <c r="S28" i="2"/>
  <c r="W28" i="2" s="1"/>
  <c r="AF33" i="1"/>
  <c r="AH33" i="1" s="1"/>
  <c r="V27" i="2"/>
  <c r="AA27" i="2" s="1"/>
  <c r="T49" i="2" s="1"/>
  <c r="V28" i="2" l="1"/>
  <c r="X28" i="2"/>
  <c r="Z27" i="2"/>
  <c r="AE34" i="1"/>
  <c r="S29" i="2"/>
  <c r="AF34" i="1"/>
  <c r="AH34" i="1" s="1"/>
  <c r="W29" i="2" l="1"/>
  <c r="AA28" i="2"/>
  <c r="T50" i="2" s="1"/>
  <c r="X29" i="2"/>
  <c r="Z28" i="2"/>
  <c r="V29" i="2"/>
  <c r="AA29" i="2" l="1"/>
  <c r="T51" i="2" s="1"/>
  <c r="Z29" i="2"/>
</calcChain>
</file>

<file path=xl/sharedStrings.xml><?xml version="1.0" encoding="utf-8"?>
<sst xmlns="http://schemas.openxmlformats.org/spreadsheetml/2006/main" count="185" uniqueCount="158">
  <si>
    <t>START</t>
  </si>
  <si>
    <t>NUMBER</t>
  </si>
  <si>
    <t>Wages total</t>
  </si>
  <si>
    <t>Workers *%tax*av wage</t>
  </si>
  <si>
    <t>Pay to workers after tax</t>
  </si>
  <si>
    <t>Tax on work</t>
  </si>
  <si>
    <t>Pay as UBI</t>
  </si>
  <si>
    <t>Total CONSUMED</t>
  </si>
  <si>
    <t>Tax on vat</t>
  </si>
  <si>
    <t>GDP</t>
  </si>
  <si>
    <t>GDP LABOUR</t>
  </si>
  <si>
    <t>Population</t>
  </si>
  <si>
    <t>UBI</t>
  </si>
  <si>
    <t>Population *amount</t>
  </si>
  <si>
    <t>Working age %</t>
  </si>
  <si>
    <t>Workers</t>
  </si>
  <si>
    <t>Unemployed %</t>
  </si>
  <si>
    <t>Needing UBI %</t>
  </si>
  <si>
    <t xml:space="preserve">Gov workers% </t>
  </si>
  <si>
    <t>VATAMOUNT=</t>
  </si>
  <si>
    <t>Price*vat</t>
  </si>
  <si>
    <t>GOv income</t>
  </si>
  <si>
    <t>VATAMOUNT= price * rate</t>
  </si>
  <si>
    <t>GOV Social costs</t>
  </si>
  <si>
    <t>GOv Other</t>
  </si>
  <si>
    <t>GOv UBI costs</t>
  </si>
  <si>
    <t>Total Moms income</t>
  </si>
  <si>
    <t>Work income</t>
  </si>
  <si>
    <t>Total wages</t>
  </si>
  <si>
    <t>Total gov wage income</t>
  </si>
  <si>
    <t>Total other income</t>
  </si>
  <si>
    <t>GDP SECTION</t>
  </si>
  <si>
    <t>INCOME</t>
  </si>
  <si>
    <t>Numberinwork</t>
  </si>
  <si>
    <t>SOCIAL 0.42%</t>
  </si>
  <si>
    <t>Expenses</t>
  </si>
  <si>
    <t>SPendingroom</t>
  </si>
  <si>
    <t>To tax</t>
  </si>
  <si>
    <t xml:space="preserve">Spending room </t>
  </si>
  <si>
    <t>Workers Spend room</t>
  </si>
  <si>
    <t>UBIspend</t>
  </si>
  <si>
    <t>Per person</t>
  </si>
  <si>
    <t>VAT</t>
  </si>
  <si>
    <t>Support quota</t>
  </si>
  <si>
    <t>Gov employees</t>
  </si>
  <si>
    <t>CHECKSUMS</t>
  </si>
  <si>
    <t>UBI As social</t>
  </si>
  <si>
    <t>COMPÅANY PROFITABILITY</t>
  </si>
  <si>
    <t>ROUND</t>
  </si>
  <si>
    <t>Other</t>
  </si>
  <si>
    <t>Total Income</t>
  </si>
  <si>
    <t>With 0 = 100</t>
  </si>
  <si>
    <t>number in work</t>
  </si>
  <si>
    <t>Number older in UBI</t>
  </si>
  <si>
    <t>number youth UBI</t>
  </si>
  <si>
    <t>Average wage/M</t>
  </si>
  <si>
    <t>Social costs</t>
  </si>
  <si>
    <t>UBI Older</t>
  </si>
  <si>
    <t>UBI young</t>
  </si>
  <si>
    <t>UBI Total</t>
  </si>
  <si>
    <t>workers</t>
  </si>
  <si>
    <t>total</t>
  </si>
  <si>
    <t>workers after vat</t>
  </si>
  <si>
    <t>UBI after vat</t>
  </si>
  <si>
    <t>Social care</t>
  </si>
  <si>
    <t>All wages</t>
  </si>
  <si>
    <t>All gov- social</t>
  </si>
  <si>
    <t>OK</t>
  </si>
  <si>
    <t>Total social</t>
  </si>
  <si>
    <t>state total</t>
  </si>
  <si>
    <t>SPent-expenses</t>
  </si>
  <si>
    <t>Profitability start= 50</t>
  </si>
  <si>
    <t>Wage after tax</t>
  </si>
  <si>
    <t>Wages after tax &amp; VAT</t>
  </si>
  <si>
    <t>UBI after VAT</t>
  </si>
  <si>
    <t>Spending power workers start=100</t>
  </si>
  <si>
    <t>Spending power UBI takers start=100</t>
  </si>
  <si>
    <t>CREATING A BLANK</t>
  </si>
  <si>
    <t>If (X=0; ""; FORMULA)</t>
  </si>
  <si>
    <t>Education and health</t>
  </si>
  <si>
    <t>Police, justice, administration</t>
  </si>
  <si>
    <t>CHART 1</t>
  </si>
  <si>
    <t>Chart 2</t>
  </si>
  <si>
    <t>Chart 4 expenses</t>
  </si>
  <si>
    <t>TOTAL ECONOMY</t>
  </si>
  <si>
    <t xml:space="preserve"> Average Wage start=50/100</t>
  </si>
  <si>
    <t>UBI compared to average wage</t>
  </si>
  <si>
    <t>Minimum (compared to average)</t>
  </si>
  <si>
    <t>Workforce % of total population</t>
  </si>
  <si>
    <t>State Income 0=100</t>
  </si>
  <si>
    <t>VAT Rate in %</t>
  </si>
  <si>
    <t>Tax on work%</t>
  </si>
  <si>
    <t>State Expenses UBI as percentage of total</t>
  </si>
  <si>
    <t>State expense Social care</t>
  </si>
  <si>
    <t>Gov employees start= 100</t>
  </si>
  <si>
    <t>Government popularity start = 50</t>
  </si>
  <si>
    <t>Infrastructure</t>
  </si>
  <si>
    <t>total income</t>
  </si>
  <si>
    <t>Checksum</t>
  </si>
  <si>
    <t>Spending PIE</t>
  </si>
  <si>
    <t>PERFORMANCE</t>
  </si>
  <si>
    <t>Popularity</t>
  </si>
  <si>
    <t>UBI costs</t>
  </si>
  <si>
    <t>Workforce</t>
  </si>
  <si>
    <t>Gov income</t>
  </si>
  <si>
    <t xml:space="preserve">Profitability </t>
  </si>
  <si>
    <t>Target Profitability</t>
  </si>
  <si>
    <t>PIE Target</t>
  </si>
  <si>
    <t>BASIC FIGURES: Starting Point</t>
  </si>
  <si>
    <t>million</t>
  </si>
  <si>
    <t>Support quote older</t>
  </si>
  <si>
    <t>per 100 in workforce</t>
  </si>
  <si>
    <t>Suport quote younger 50% UBI</t>
  </si>
  <si>
    <t>In workforce</t>
  </si>
  <si>
    <t>100 of 176</t>
  </si>
  <si>
    <t>Looking for work</t>
  </si>
  <si>
    <t>%</t>
  </si>
  <si>
    <t>Over 20</t>
  </si>
  <si>
    <t>Average wage</t>
  </si>
  <si>
    <t>$LP a month</t>
  </si>
  <si>
    <t>Minimum</t>
  </si>
  <si>
    <t>Income fr VAT</t>
  </si>
  <si>
    <t>Income work</t>
  </si>
  <si>
    <t>% total</t>
  </si>
  <si>
    <t>Income other incl. capital</t>
  </si>
  <si>
    <t>Gov Income</t>
  </si>
  <si>
    <t xml:space="preserve"> $LP million</t>
  </si>
  <si>
    <t>Social expenses</t>
  </si>
  <si>
    <t xml:space="preserve">$LP million </t>
  </si>
  <si>
    <t>Government employees</t>
  </si>
  <si>
    <t>% of total</t>
  </si>
  <si>
    <t>ROUNDS</t>
  </si>
  <si>
    <t>DECISIONS</t>
  </si>
  <si>
    <t>Government</t>
  </si>
  <si>
    <t>VAT%</t>
  </si>
  <si>
    <t>%Tax on employment</t>
  </si>
  <si>
    <t>Basic income $LP</t>
  </si>
  <si>
    <t>Employers</t>
  </si>
  <si>
    <t xml:space="preserve">AV. Wages Start=100 </t>
  </si>
  <si>
    <t>Wages actual   $LP</t>
  </si>
  <si>
    <t>% Change work force</t>
  </si>
  <si>
    <t>% change Gov workforce</t>
  </si>
  <si>
    <t>Popularity of Government %</t>
  </si>
  <si>
    <t xml:space="preserve">Minimum Wage = </t>
  </si>
  <si>
    <t>Raise VAT Lower tax on work</t>
  </si>
  <si>
    <t>Lower Quota ratio see what happens</t>
  </si>
  <si>
    <t>Explore effects UBI has on money in people's pockets</t>
  </si>
  <si>
    <t>LOwer wages becasue security is there</t>
  </si>
  <si>
    <t>Raise wages to make work more intereting</t>
  </si>
  <si>
    <t>Development</t>
  </si>
  <si>
    <t>Effects of governemnt employment ..lowering becasue of UBI</t>
  </si>
  <si>
    <t>Minimum Wage</t>
  </si>
  <si>
    <t>Wage after vat</t>
  </si>
  <si>
    <t>Minimum after TAX</t>
  </si>
  <si>
    <t>minimum after VAT</t>
  </si>
  <si>
    <t>Minimum wage after tax+vat</t>
  </si>
  <si>
    <t>Politician Popularity</t>
  </si>
  <si>
    <t xml:space="preserve">Tax on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</si>
</sst>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0"/>
      <color rgb="FF000000"/>
      <name val="Arial"/>
    </font>
    <font>
      <sz val="10"/>
      <name val="Arial"/>
      <family val="2"/>
    </font>
    <font>
      <sz val="11"/>
      <color rgb="FF000000"/>
      <name val="Inconsolata"/>
    </font>
    <font>
      <sz val="10"/>
      <color rgb="FFFFFFFF"/>
      <name val="Arial"/>
      <family val="2"/>
    </font>
    <font>
      <sz val="11"/>
      <color rgb="FFF7981D"/>
      <name val="Inconsolata"/>
    </font>
    <font>
      <sz val="24"/>
      <name val="Arial"/>
      <family val="2"/>
    </font>
    <font>
      <b/>
      <sz val="24"/>
      <color rgb="FFFFFFFF"/>
      <name val="Arial"/>
      <family val="2"/>
    </font>
    <font>
      <sz val="14"/>
      <color rgb="FFFFFFFF"/>
      <name val="Arial"/>
      <family val="2"/>
    </font>
    <font>
      <sz val="24"/>
      <color rgb="FFFFFFFF"/>
      <name val="Arial"/>
      <family val="2"/>
    </font>
    <font>
      <b/>
      <sz val="24"/>
      <name val="Arial"/>
      <family val="2"/>
    </font>
    <font>
      <sz val="14"/>
      <name val="Arial"/>
      <family val="2"/>
    </font>
    <font>
      <sz val="10"/>
      <color rgb="FFB7B7B7"/>
      <name val="Arial"/>
      <family val="2"/>
    </font>
    <font>
      <sz val="10"/>
      <color rgb="FF00000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B7B7B7"/>
        <bgColor rgb="FFB7B7B7"/>
      </patternFill>
    </fill>
    <fill>
      <patternFill patternType="solid">
        <fgColor rgb="FFD9D9D9"/>
        <bgColor rgb="FFD9D9D9"/>
      </patternFill>
    </fill>
    <fill>
      <patternFill patternType="solid">
        <fgColor rgb="FF999999"/>
        <bgColor rgb="FF999999"/>
      </patternFill>
    </fill>
    <fill>
      <patternFill patternType="solid">
        <fgColor rgb="FF666666"/>
        <bgColor rgb="FF666666"/>
      </patternFill>
    </fill>
    <fill>
      <patternFill patternType="solid">
        <fgColor rgb="FFFFFF00"/>
        <bgColor rgb="FFFFFF00"/>
      </patternFill>
    </fill>
    <fill>
      <patternFill patternType="solid">
        <fgColor rgb="FFFCE5CD"/>
        <bgColor rgb="FFFCE5CD"/>
      </patternFill>
    </fill>
    <fill>
      <patternFill patternType="solid">
        <fgColor rgb="FFB6D7A8"/>
        <bgColor rgb="FFB6D7A8"/>
      </patternFill>
    </fill>
    <fill>
      <patternFill patternType="solid">
        <fgColor rgb="FFCC0000"/>
        <bgColor rgb="FFCC0000"/>
      </patternFill>
    </fill>
    <fill>
      <patternFill patternType="solid">
        <fgColor rgb="FFF4CCCC"/>
        <bgColor rgb="FFF4CCCC"/>
      </patternFill>
    </fill>
    <fill>
      <patternFill patternType="solid">
        <fgColor rgb="FFCC4125"/>
        <bgColor rgb="FFCC4125"/>
      </patternFill>
    </fill>
    <fill>
      <patternFill patternType="solid">
        <fgColor rgb="FFF6B26B"/>
        <bgColor rgb="FFF6B26B"/>
      </patternFill>
    </fill>
    <fill>
      <patternFill patternType="solid">
        <fgColor theme="0"/>
        <bgColor rgb="FFFCE5CD"/>
      </patternFill>
    </fill>
    <fill>
      <patternFill patternType="solid">
        <fgColor theme="5" tint="0.59999389629810485"/>
        <bgColor rgb="FFFCE5CD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00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3" fontId="1" fillId="0" borderId="0" xfId="0" applyNumberFormat="1" applyFont="1" applyAlignment="1"/>
    <xf numFmtId="3" fontId="1" fillId="0" borderId="0" xfId="0" applyNumberFormat="1" applyFont="1" applyAlignment="1">
      <alignment horizontal="center"/>
    </xf>
    <xf numFmtId="3" fontId="1" fillId="0" borderId="0" xfId="0" applyNumberFormat="1" applyFont="1"/>
    <xf numFmtId="0" fontId="2" fillId="2" borderId="0" xfId="0" applyFont="1" applyFill="1"/>
    <xf numFmtId="9" fontId="1" fillId="0" borderId="0" xfId="0" applyNumberFormat="1" applyFont="1"/>
    <xf numFmtId="3" fontId="1" fillId="0" borderId="0" xfId="0" applyNumberFormat="1" applyFont="1" applyAlignment="1">
      <alignment horizontal="center"/>
    </xf>
    <xf numFmtId="0" fontId="1" fillId="3" borderId="0" xfId="0" applyFont="1" applyFill="1" applyAlignment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1" fillId="4" borderId="0" xfId="0" applyFont="1" applyFill="1"/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1" fillId="6" borderId="0" xfId="0" applyFont="1" applyFill="1" applyAlignment="1">
      <alignment horizontal="center"/>
    </xf>
    <xf numFmtId="0" fontId="1" fillId="7" borderId="0" xfId="0" applyFont="1" applyFill="1" applyAlignment="1"/>
    <xf numFmtId="0" fontId="1" fillId="7" borderId="0" xfId="0" applyFont="1" applyFill="1"/>
    <xf numFmtId="0" fontId="1" fillId="7" borderId="0" xfId="0" applyFont="1" applyFill="1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0" fontId="1" fillId="7" borderId="0" xfId="0" applyFont="1" applyFill="1" applyAlignment="1">
      <alignment horizontal="center" wrapText="1"/>
    </xf>
    <xf numFmtId="0" fontId="1" fillId="7" borderId="0" xfId="0" applyFont="1" applyFill="1" applyAlignment="1">
      <alignment wrapText="1"/>
    </xf>
    <xf numFmtId="0" fontId="1" fillId="8" borderId="0" xfId="0" applyFont="1" applyFill="1" applyAlignment="1"/>
    <xf numFmtId="4" fontId="1" fillId="0" borderId="0" xfId="0" applyNumberFormat="1" applyFont="1"/>
    <xf numFmtId="1" fontId="1" fillId="0" borderId="0" xfId="0" applyNumberFormat="1" applyFont="1"/>
    <xf numFmtId="1" fontId="1" fillId="0" borderId="0" xfId="0" applyNumberFormat="1" applyFont="1" applyAlignment="1">
      <alignment horizontal="center"/>
    </xf>
    <xf numFmtId="3" fontId="1" fillId="7" borderId="0" xfId="0" applyNumberFormat="1" applyFont="1" applyFill="1"/>
    <xf numFmtId="3" fontId="1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 wrapText="1"/>
    </xf>
    <xf numFmtId="4" fontId="1" fillId="0" borderId="0" xfId="0" applyNumberFormat="1" applyFont="1" applyAlignment="1">
      <alignment horizontal="center" wrapText="1"/>
    </xf>
    <xf numFmtId="0" fontId="1" fillId="9" borderId="0" xfId="0" applyFont="1" applyFill="1" applyAlignment="1">
      <alignment wrapText="1"/>
    </xf>
    <xf numFmtId="0" fontId="1" fillId="8" borderId="0" xfId="0" applyFont="1" applyFill="1" applyAlignment="1">
      <alignment wrapText="1"/>
    </xf>
    <xf numFmtId="4" fontId="1" fillId="0" borderId="0" xfId="0" applyNumberFormat="1" applyFont="1" applyAlignment="1">
      <alignment horizontal="center"/>
    </xf>
    <xf numFmtId="4" fontId="1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  <xf numFmtId="3" fontId="1" fillId="2" borderId="0" xfId="0" applyNumberFormat="1" applyFont="1" applyFill="1" applyAlignment="1">
      <alignment horizontal="center"/>
    </xf>
    <xf numFmtId="0" fontId="1" fillId="2" borderId="0" xfId="0" applyFont="1" applyFill="1"/>
    <xf numFmtId="0" fontId="1" fillId="2" borderId="0" xfId="0" applyFont="1" applyFill="1" applyAlignment="1"/>
    <xf numFmtId="1" fontId="1" fillId="2" borderId="0" xfId="0" applyNumberFormat="1" applyFont="1" applyFill="1" applyAlignment="1"/>
    <xf numFmtId="4" fontId="1" fillId="2" borderId="0" xfId="0" applyNumberFormat="1" applyFont="1" applyFill="1" applyAlignment="1">
      <alignment horizontal="center"/>
    </xf>
    <xf numFmtId="3" fontId="1" fillId="2" borderId="0" xfId="0" applyNumberFormat="1" applyFont="1" applyFill="1" applyAlignment="1">
      <alignment wrapText="1"/>
    </xf>
    <xf numFmtId="0" fontId="1" fillId="9" borderId="0" xfId="0" applyFont="1" applyFill="1" applyAlignment="1"/>
    <xf numFmtId="3" fontId="1" fillId="0" borderId="0" xfId="0" applyNumberFormat="1" applyFont="1" applyAlignment="1">
      <alignment wrapText="1"/>
    </xf>
    <xf numFmtId="4" fontId="1" fillId="0" borderId="0" xfId="0" applyNumberFormat="1" applyFont="1" applyAlignment="1">
      <alignment horizontal="center"/>
    </xf>
    <xf numFmtId="3" fontId="1" fillId="2" borderId="0" xfId="0" applyNumberFormat="1" applyFont="1" applyFill="1" applyAlignment="1"/>
    <xf numFmtId="0" fontId="1" fillId="9" borderId="0" xfId="0" applyFont="1" applyFill="1"/>
    <xf numFmtId="4" fontId="1" fillId="9" borderId="0" xfId="0" applyNumberFormat="1" applyFont="1" applyFill="1" applyAlignment="1">
      <alignment horizontal="center"/>
    </xf>
    <xf numFmtId="1" fontId="4" fillId="2" borderId="0" xfId="0" applyNumberFormat="1" applyFont="1" applyFill="1"/>
    <xf numFmtId="9" fontId="1" fillId="0" borderId="0" xfId="0" applyNumberFormat="1" applyFont="1" applyAlignment="1">
      <alignment horizontal="center"/>
    </xf>
    <xf numFmtId="3" fontId="1" fillId="0" borderId="0" xfId="0" applyNumberFormat="1" applyFont="1"/>
    <xf numFmtId="4" fontId="1" fillId="0" borderId="0" xfId="0" applyNumberFormat="1" applyFont="1" applyAlignment="1">
      <alignment wrapText="1"/>
    </xf>
    <xf numFmtId="3" fontId="1" fillId="0" borderId="0" xfId="0" applyNumberFormat="1" applyFont="1" applyAlignment="1">
      <alignment wrapText="1"/>
    </xf>
    <xf numFmtId="0" fontId="3" fillId="10" borderId="1" xfId="0" applyFont="1" applyFill="1" applyBorder="1" applyAlignment="1"/>
    <xf numFmtId="0" fontId="3" fillId="10" borderId="2" xfId="0" applyFont="1" applyFill="1" applyBorder="1"/>
    <xf numFmtId="0" fontId="3" fillId="10" borderId="3" xfId="0" applyFont="1" applyFill="1" applyBorder="1"/>
    <xf numFmtId="3" fontId="1" fillId="3" borderId="0" xfId="0" applyNumberFormat="1" applyFont="1" applyFill="1" applyAlignment="1"/>
    <xf numFmtId="3" fontId="1" fillId="11" borderId="4" xfId="0" applyNumberFormat="1" applyFont="1" applyFill="1" applyBorder="1" applyAlignment="1"/>
    <xf numFmtId="3" fontId="1" fillId="11" borderId="0" xfId="0" applyNumberFormat="1" applyFont="1" applyFill="1" applyAlignment="1"/>
    <xf numFmtId="3" fontId="1" fillId="11" borderId="5" xfId="0" applyNumberFormat="1" applyFont="1" applyFill="1" applyBorder="1" applyAlignment="1"/>
    <xf numFmtId="0" fontId="1" fillId="11" borderId="4" xfId="0" applyFont="1" applyFill="1" applyBorder="1" applyAlignment="1"/>
    <xf numFmtId="0" fontId="1" fillId="11" borderId="0" xfId="0" applyFont="1" applyFill="1" applyAlignment="1"/>
    <xf numFmtId="0" fontId="1" fillId="11" borderId="0" xfId="0" applyFont="1" applyFill="1"/>
    <xf numFmtId="3" fontId="1" fillId="11" borderId="0" xfId="0" applyNumberFormat="1" applyFont="1" applyFill="1"/>
    <xf numFmtId="0" fontId="1" fillId="11" borderId="5" xfId="0" applyFont="1" applyFill="1" applyBorder="1" applyAlignment="1"/>
    <xf numFmtId="3" fontId="1" fillId="3" borderId="0" xfId="0" applyNumberFormat="1" applyFont="1" applyFill="1"/>
    <xf numFmtId="9" fontId="1" fillId="11" borderId="0" xfId="0" applyNumberFormat="1" applyFont="1" applyFill="1" applyAlignment="1"/>
    <xf numFmtId="0" fontId="1" fillId="11" borderId="6" xfId="0" applyFont="1" applyFill="1" applyBorder="1" applyAlignment="1"/>
    <xf numFmtId="0" fontId="1" fillId="11" borderId="7" xfId="0" applyFont="1" applyFill="1" applyBorder="1" applyAlignment="1"/>
    <xf numFmtId="3" fontId="1" fillId="11" borderId="8" xfId="0" applyNumberFormat="1" applyFont="1" applyFill="1" applyBorder="1" applyAlignment="1"/>
    <xf numFmtId="0" fontId="11" fillId="3" borderId="0" xfId="0" applyFont="1" applyFill="1"/>
    <xf numFmtId="0" fontId="0" fillId="0" borderId="0" xfId="0" applyFont="1" applyFill="1" applyAlignment="1"/>
    <xf numFmtId="0" fontId="12" fillId="0" borderId="0" xfId="0" applyFont="1" applyAlignment="1"/>
    <xf numFmtId="4" fontId="0" fillId="0" borderId="0" xfId="0" applyNumberFormat="1" applyFont="1" applyAlignment="1"/>
    <xf numFmtId="1" fontId="0" fillId="0" borderId="0" xfId="0" applyNumberFormat="1" applyFont="1" applyAlignment="1"/>
    <xf numFmtId="1" fontId="5" fillId="14" borderId="0" xfId="0" applyNumberFormat="1" applyFont="1" applyFill="1" applyAlignment="1" applyProtection="1">
      <alignment horizontal="center"/>
      <protection locked="0"/>
    </xf>
    <xf numFmtId="0" fontId="1" fillId="3" borderId="0" xfId="0" applyFont="1" applyFill="1" applyProtection="1"/>
    <xf numFmtId="0" fontId="5" fillId="12" borderId="0" xfId="0" applyFont="1" applyFill="1" applyProtection="1"/>
    <xf numFmtId="0" fontId="6" fillId="12" borderId="0" xfId="0" applyFont="1" applyFill="1" applyAlignment="1" applyProtection="1"/>
    <xf numFmtId="0" fontId="1" fillId="12" borderId="0" xfId="0" applyFont="1" applyFill="1" applyProtection="1"/>
    <xf numFmtId="0" fontId="7" fillId="3" borderId="0" xfId="0" applyFont="1" applyFill="1" applyProtection="1"/>
    <xf numFmtId="0" fontId="8" fillId="12" borderId="0" xfId="0" applyFont="1" applyFill="1" applyProtection="1"/>
    <xf numFmtId="0" fontId="6" fillId="12" borderId="0" xfId="0" applyFont="1" applyFill="1" applyAlignment="1" applyProtection="1">
      <alignment horizontal="center"/>
    </xf>
    <xf numFmtId="0" fontId="8" fillId="12" borderId="0" xfId="0" applyFont="1" applyFill="1" applyAlignment="1" applyProtection="1">
      <alignment horizontal="center"/>
    </xf>
    <xf numFmtId="0" fontId="9" fillId="13" borderId="0" xfId="0" applyFont="1" applyFill="1" applyAlignment="1" applyProtection="1"/>
    <xf numFmtId="0" fontId="5" fillId="13" borderId="0" xfId="0" applyFont="1" applyFill="1" applyProtection="1"/>
    <xf numFmtId="0" fontId="10" fillId="3" borderId="0" xfId="0" applyFont="1" applyFill="1" applyProtection="1"/>
    <xf numFmtId="0" fontId="5" fillId="8" borderId="0" xfId="0" applyFont="1" applyFill="1" applyAlignment="1" applyProtection="1">
      <alignment horizontal="right"/>
    </xf>
    <xf numFmtId="1" fontId="5" fillId="8" borderId="0" xfId="0" applyNumberFormat="1" applyFont="1" applyFill="1" applyAlignment="1" applyProtection="1">
      <alignment horizontal="center"/>
    </xf>
    <xf numFmtId="0" fontId="5" fillId="8" borderId="0" xfId="0" applyFont="1" applyFill="1" applyAlignment="1" applyProtection="1"/>
    <xf numFmtId="0" fontId="5" fillId="13" borderId="0" xfId="0" applyFont="1" applyFill="1" applyAlignment="1" applyProtection="1"/>
    <xf numFmtId="0" fontId="5" fillId="15" borderId="0" xfId="0" applyFont="1" applyFill="1" applyAlignment="1" applyProtection="1"/>
    <xf numFmtId="0" fontId="11" fillId="3" borderId="0" xfId="0" applyFont="1" applyFill="1" applyProtection="1"/>
    <xf numFmtId="0" fontId="11" fillId="3" borderId="0" xfId="0" applyFont="1" applyFill="1" applyAlignment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hartsheet" Target="chartsheets/sheet5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hartsheet" Target="chartsheets/sheet4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hartsheet" Target="chartsheets/sheet3.xml"/><Relationship Id="rId11" Type="http://schemas.openxmlformats.org/officeDocument/2006/relationships/worksheet" Target="worksheets/sheet4.xml"/><Relationship Id="rId5" Type="http://schemas.openxmlformats.org/officeDocument/2006/relationships/chartsheet" Target="chartsheets/sheet2.xml"/><Relationship Id="rId15" Type="http://schemas.openxmlformats.org/officeDocument/2006/relationships/calcChain" Target="calcChain.xml"/><Relationship Id="rId10" Type="http://schemas.openxmlformats.org/officeDocument/2006/relationships/chartsheet" Target="chartsheets/sheet7.xml"/><Relationship Id="rId4" Type="http://schemas.openxmlformats.org/officeDocument/2006/relationships/chartsheet" Target="chartsheets/sheet1.xml"/><Relationship Id="rId9" Type="http://schemas.openxmlformats.org/officeDocument/2006/relationships/chartsheet" Target="chartsheets/sheet6.xml"/><Relationship Id="rId14" Type="http://schemas.openxmlformats.org/officeDocument/2006/relationships/sharedStrings" Target="sharedStrings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r>
              <a:rPr lang="sv-SE"/>
              <a:t>Numbers in work and UBI</a:t>
            </a:r>
          </a:p>
        </c:rich>
      </c:tx>
      <c:overlay val="0"/>
    </c:title>
    <c:autoTitleDeleted val="0"/>
    <c:plotArea>
      <c:layout/>
      <c:lineChart>
        <c:grouping val="standard"/>
        <c:varyColors val="1"/>
        <c:ser>
          <c:idx val="0"/>
          <c:order val="0"/>
          <c:tx>
            <c:strRef>
              <c:f>Engine!$H$21</c:f>
              <c:strCache>
                <c:ptCount val="1"/>
                <c:pt idx="0">
                  <c:v>number in work</c:v>
                </c:pt>
              </c:strCache>
            </c:strRef>
          </c:tx>
          <c:marker>
            <c:symbol val="none"/>
          </c:marker>
          <c:cat>
            <c:numRef>
              <c:f>Engine!$B$22:$B$31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</c:numCache>
            </c:numRef>
          </c:cat>
          <c:val>
            <c:numRef>
              <c:f>Engine!$H$22:$H$31</c:f>
              <c:numCache>
                <c:formatCode>#,##0</c:formatCode>
                <c:ptCount val="10"/>
                <c:pt idx="0">
                  <c:v>5681818.1818181816</c:v>
                </c:pt>
                <c:pt idx="1">
                  <c:v>5568181.8181818184</c:v>
                </c:pt>
                <c:pt idx="2">
                  <c:v>5456818.1818181816</c:v>
                </c:pt>
                <c:pt idx="3">
                  <c:v>5347681.8181818184</c:v>
                </c:pt>
                <c:pt idx="4">
                  <c:v>5240728.1818181816</c:v>
                </c:pt>
                <c:pt idx="5">
                  <c:v>5135913.6181818182</c:v>
                </c:pt>
                <c:pt idx="6">
                  <c:v>5033195.3458181815</c:v>
                </c:pt>
                <c:pt idx="7">
                  <c:v>4932531.4389018174</c:v>
                </c:pt>
                <c:pt idx="8">
                  <c:v>4833880.8101237807</c:v>
                </c:pt>
                <c:pt idx="9">
                  <c:v>4737203.1939213052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6D7-8044-A323-B14AD8E99C44}"/>
            </c:ext>
          </c:extLst>
        </c:ser>
        <c:ser>
          <c:idx val="1"/>
          <c:order val="1"/>
          <c:tx>
            <c:strRef>
              <c:f>Engine!$I$21</c:f>
              <c:strCache>
                <c:ptCount val="1"/>
                <c:pt idx="0">
                  <c:v>Number older in UBI</c:v>
                </c:pt>
              </c:strCache>
            </c:strRef>
          </c:tx>
          <c:marker>
            <c:symbol val="none"/>
          </c:marker>
          <c:cat>
            <c:numRef>
              <c:f>Engine!$B$22:$B$31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</c:numCache>
            </c:numRef>
          </c:cat>
          <c:val>
            <c:numRef>
              <c:f>Engine!$I$22:$I$31</c:f>
              <c:numCache>
                <c:formatCode>#,##0</c:formatCode>
                <c:ptCount val="10"/>
                <c:pt idx="0">
                  <c:v>1988636.3636363638</c:v>
                </c:pt>
                <c:pt idx="1">
                  <c:v>2102272.7272727271</c:v>
                </c:pt>
                <c:pt idx="2">
                  <c:v>2213636.3636363638</c:v>
                </c:pt>
                <c:pt idx="3">
                  <c:v>2322772.7272727271</c:v>
                </c:pt>
                <c:pt idx="4">
                  <c:v>2429726.3636363638</c:v>
                </c:pt>
                <c:pt idx="5">
                  <c:v>2534540.9272727272</c:v>
                </c:pt>
                <c:pt idx="6">
                  <c:v>2637259.1996363639</c:v>
                </c:pt>
                <c:pt idx="7">
                  <c:v>2737923.106552728</c:v>
                </c:pt>
                <c:pt idx="8">
                  <c:v>2836573.7353307647</c:v>
                </c:pt>
                <c:pt idx="9">
                  <c:v>2933251.3515332402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6D7-8044-A323-B14AD8E99C44}"/>
            </c:ext>
          </c:extLst>
        </c:ser>
        <c:ser>
          <c:idx val="2"/>
          <c:order val="2"/>
          <c:tx>
            <c:strRef>
              <c:f>Engine!$J$21</c:f>
              <c:strCache>
                <c:ptCount val="1"/>
                <c:pt idx="0">
                  <c:v>number youth UBI</c:v>
                </c:pt>
              </c:strCache>
            </c:strRef>
          </c:tx>
          <c:marker>
            <c:symbol val="none"/>
          </c:marker>
          <c:cat>
            <c:numRef>
              <c:f>Engine!$B$22:$B$31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</c:numCache>
            </c:numRef>
          </c:cat>
          <c:val>
            <c:numRef>
              <c:f>Engine!$J$22:$J$31</c:f>
              <c:numCache>
                <c:formatCode>#,##0</c:formatCode>
                <c:ptCount val="10"/>
                <c:pt idx="0">
                  <c:v>2329545.4545454546</c:v>
                </c:pt>
                <c:pt idx="1">
                  <c:v>2329545.4545454546</c:v>
                </c:pt>
                <c:pt idx="2">
                  <c:v>2329545.4545454546</c:v>
                </c:pt>
                <c:pt idx="3">
                  <c:v>2329545.4545454546</c:v>
                </c:pt>
                <c:pt idx="4">
                  <c:v>2329545.4545454546</c:v>
                </c:pt>
                <c:pt idx="5">
                  <c:v>2329545.4545454546</c:v>
                </c:pt>
                <c:pt idx="6">
                  <c:v>2329545.4545454546</c:v>
                </c:pt>
                <c:pt idx="7">
                  <c:v>2329545.4545454546</c:v>
                </c:pt>
                <c:pt idx="8">
                  <c:v>2329545.4545454546</c:v>
                </c:pt>
                <c:pt idx="9">
                  <c:v>2329545.4545454546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6D7-8044-A323-B14AD8E99C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63649196"/>
        <c:axId val="1171196277"/>
      </c:lineChart>
      <c:catAx>
        <c:axId val="18636491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sv-SE"/>
              </a:p>
            </c:rich>
          </c:tx>
          <c:overlay val="0"/>
        </c:title>
        <c:numFmt formatCode="General" sourceLinked="1"/>
        <c:majorTickMark val="cross"/>
        <c:minorTickMark val="cross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endParaRPr lang="sv-SE"/>
          </a:p>
        </c:txPr>
        <c:crossAx val="1171196277"/>
        <c:crosses val="autoZero"/>
        <c:auto val="1"/>
        <c:lblAlgn val="ctr"/>
        <c:lblOffset val="100"/>
        <c:noMultiLvlLbl val="1"/>
      </c:catAx>
      <c:valAx>
        <c:axId val="117119627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sv-SE"/>
              </a:p>
            </c:rich>
          </c:tx>
          <c:overlay val="0"/>
        </c:title>
        <c:numFmt formatCode="#,##0" sourceLinked="1"/>
        <c:majorTickMark val="cross"/>
        <c:minorTickMark val="cross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endParaRPr lang="sv-SE"/>
          </a:p>
        </c:txPr>
        <c:crossAx val="1863649196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000000"/>
              </a:solidFill>
              <a:latin typeface="Roboto"/>
            </a:defRPr>
          </a:pPr>
          <a:endParaRPr lang="sv-SE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1"/>
  <c:style val="2"/>
  <c:chart>
    <c:autoTitleDeleted val="1"/>
    <c:plotArea>
      <c:layout/>
      <c:lineChart>
        <c:grouping val="standard"/>
        <c:varyColors val="1"/>
        <c:ser>
          <c:idx val="0"/>
          <c:order val="0"/>
          <c:tx>
            <c:strRef>
              <c:f>Engine!$U$21</c:f>
              <c:strCache>
                <c:ptCount val="1"/>
                <c:pt idx="0">
                  <c:v>workers after vat</c:v>
                </c:pt>
              </c:strCache>
            </c:strRef>
          </c:tx>
          <c:marker>
            <c:symbol val="none"/>
          </c:marker>
          <c:cat>
            <c:numRef>
              <c:f>Engine!$B$22:$B$31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</c:numCache>
            </c:numRef>
          </c:cat>
          <c:val>
            <c:numRef>
              <c:f>Engine!$U$22:$U$31</c:f>
              <c:numCache>
                <c:formatCode>#,##0</c:formatCode>
                <c:ptCount val="10"/>
                <c:pt idx="0">
                  <c:v>9545454444.6545448</c:v>
                </c:pt>
                <c:pt idx="1">
                  <c:v>9555000000</c:v>
                </c:pt>
                <c:pt idx="2">
                  <c:v>9289583333.333334</c:v>
                </c:pt>
                <c:pt idx="3">
                  <c:v>9032108267.7165356</c:v>
                </c:pt>
                <c:pt idx="4">
                  <c:v>8782314023.4375</c:v>
                </c:pt>
                <c:pt idx="5">
                  <c:v>8539949388.3720932</c:v>
                </c:pt>
                <c:pt idx="6">
                  <c:v>8304772320.5999985</c:v>
                </c:pt>
                <c:pt idx="7">
                  <c:v>8076549569.804884</c:v>
                </c:pt>
                <c:pt idx="8">
                  <c:v>7855056316.4511433</c:v>
                </c:pt>
                <c:pt idx="9">
                  <c:v>7640075827.7903757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11C-364A-9B76-B317F7D5965D}"/>
            </c:ext>
          </c:extLst>
        </c:ser>
        <c:ser>
          <c:idx val="1"/>
          <c:order val="1"/>
          <c:tx>
            <c:strRef>
              <c:f>Engine!$V$21</c:f>
              <c:strCache>
                <c:ptCount val="1"/>
                <c:pt idx="0">
                  <c:v>UBI after vat</c:v>
                </c:pt>
              </c:strCache>
            </c:strRef>
          </c:tx>
          <c:marker>
            <c:symbol val="none"/>
          </c:marker>
          <c:cat>
            <c:numRef>
              <c:f>Engine!$B$22:$B$31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</c:numCache>
            </c:numRef>
          </c:cat>
          <c:val>
            <c:numRef>
              <c:f>Engine!$V$22:$V$31</c:f>
              <c:numCache>
                <c:formatCode>#,##0</c:formatCode>
                <c:ptCount val="10"/>
                <c:pt idx="0">
                  <c:v>252272727.27272731</c:v>
                </c:pt>
                <c:pt idx="1">
                  <c:v>522727272.72727269</c:v>
                </c:pt>
                <c:pt idx="2">
                  <c:v>1072510822.5108227</c:v>
                </c:pt>
                <c:pt idx="3">
                  <c:v>2196879026.4853253</c:v>
                </c:pt>
                <c:pt idx="4">
                  <c:v>2246561931.818182</c:v>
                </c:pt>
                <c:pt idx="5">
                  <c:v>2294148002.8188863</c:v>
                </c:pt>
                <c:pt idx="6">
                  <c:v>2339711955.0209794</c:v>
                </c:pt>
                <c:pt idx="7">
                  <c:v>2383325700.0460796</c:v>
                </c:pt>
                <c:pt idx="8">
                  <c:v>2425058462.1839347</c:v>
                </c:pt>
                <c:pt idx="9">
                  <c:v>2464976889.507349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11C-364A-9B76-B317F7D596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24635460"/>
        <c:axId val="286314267"/>
      </c:lineChart>
      <c:catAx>
        <c:axId val="5246354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sv-SE"/>
              </a:p>
            </c:rich>
          </c:tx>
          <c:overlay val="0"/>
        </c:title>
        <c:numFmt formatCode="General" sourceLinked="1"/>
        <c:majorTickMark val="cross"/>
        <c:minorTickMark val="cross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endParaRPr lang="sv-SE"/>
          </a:p>
        </c:txPr>
        <c:crossAx val="286314267"/>
        <c:crosses val="autoZero"/>
        <c:auto val="1"/>
        <c:lblAlgn val="ctr"/>
        <c:lblOffset val="100"/>
        <c:noMultiLvlLbl val="1"/>
      </c:catAx>
      <c:valAx>
        <c:axId val="28631426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sv-SE"/>
              </a:p>
            </c:rich>
          </c:tx>
          <c:overlay val="0"/>
        </c:title>
        <c:numFmt formatCode="#,##0" sourceLinked="1"/>
        <c:majorTickMark val="cross"/>
        <c:minorTickMark val="cross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endParaRPr lang="sv-SE"/>
          </a:p>
        </c:txPr>
        <c:crossAx val="524635460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000000"/>
              </a:solidFill>
              <a:latin typeface="Roboto"/>
            </a:defRPr>
          </a:pPr>
          <a:endParaRPr lang="sv-SE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1"/>
  <c:style val="2"/>
  <c:chart>
    <c:autoTitleDeleted val="1"/>
    <c:plotArea>
      <c:layout/>
      <c:lineChart>
        <c:grouping val="standard"/>
        <c:varyColors val="1"/>
        <c:ser>
          <c:idx val="0"/>
          <c:order val="0"/>
          <c:tx>
            <c:strRef>
              <c:f>Engine!$AA$21</c:f>
              <c:strCache>
                <c:ptCount val="1"/>
                <c:pt idx="0">
                  <c:v>All wages</c:v>
                </c:pt>
              </c:strCache>
            </c:strRef>
          </c:tx>
          <c:marker>
            <c:symbol val="none"/>
          </c:marker>
          <c:cat>
            <c:numRef>
              <c:f>Engine!$B$22:$B$34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Engine!$AA$22:$AA$31</c:f>
              <c:numCache>
                <c:formatCode>#,##0</c:formatCode>
                <c:ptCount val="10"/>
                <c:pt idx="0">
                  <c:v>17360795274.545456</c:v>
                </c:pt>
                <c:pt idx="1">
                  <c:v>19028409090.909092</c:v>
                </c:pt>
                <c:pt idx="2">
                  <c:v>19358863636.363636</c:v>
                </c:pt>
                <c:pt idx="3">
                  <c:v>20437386363.636364</c:v>
                </c:pt>
                <c:pt idx="4">
                  <c:v>20170002272.727272</c:v>
                </c:pt>
                <c:pt idx="5">
                  <c:v>19907965863.636364</c:v>
                </c:pt>
                <c:pt idx="6">
                  <c:v>19651170182.727272</c:v>
                </c:pt>
                <c:pt idx="7">
                  <c:v>19399510415.436363</c:v>
                </c:pt>
                <c:pt idx="8">
                  <c:v>19152883843.491268</c:v>
                </c:pt>
                <c:pt idx="9">
                  <c:v>18911189802.985081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001-324A-8202-2AF86301C2F8}"/>
            </c:ext>
          </c:extLst>
        </c:ser>
        <c:ser>
          <c:idx val="1"/>
          <c:order val="1"/>
          <c:tx>
            <c:strRef>
              <c:f>Engine!$AB$21</c:f>
              <c:strCache>
                <c:ptCount val="1"/>
                <c:pt idx="0">
                  <c:v>All gov- social</c:v>
                </c:pt>
              </c:strCache>
            </c:strRef>
          </c:tx>
          <c:marker>
            <c:symbol val="none"/>
          </c:marker>
          <c:cat>
            <c:numRef>
              <c:f>Engine!$B$22:$B$34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Engine!$AB$22:$AB$31</c:f>
              <c:numCache>
                <c:formatCode>#,##0</c:formatCode>
                <c:ptCount val="10"/>
                <c:pt idx="0">
                  <c:v>9505951607.9754562</c:v>
                </c:pt>
                <c:pt idx="1">
                  <c:v>11805309659.090908</c:v>
                </c:pt>
                <c:pt idx="2">
                  <c:v>12443424634.740259</c:v>
                </c:pt>
                <c:pt idx="3">
                  <c:v>13944140751.476379</c:v>
                </c:pt>
                <c:pt idx="4">
                  <c:v>13891370614.144176</c:v>
                </c:pt>
                <c:pt idx="5">
                  <c:v>13838691232.184269</c:v>
                </c:pt>
                <c:pt idx="6">
                  <c:v>13786144776.883837</c:v>
                </c:pt>
                <c:pt idx="7">
                  <c:v>13733770661.260185</c:v>
                </c:pt>
                <c:pt idx="8">
                  <c:v>13681605685.480934</c:v>
                </c:pt>
                <c:pt idx="9">
                  <c:v>13629684174.677963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001-324A-8202-2AF86301C2F8}"/>
            </c:ext>
          </c:extLst>
        </c:ser>
        <c:ser>
          <c:idx val="2"/>
          <c:order val="2"/>
          <c:tx>
            <c:strRef>
              <c:f>Engine!$AC$21</c:f>
              <c:strCache>
                <c:ptCount val="1"/>
                <c:pt idx="0">
                  <c:v>GDP</c:v>
                </c:pt>
              </c:strCache>
            </c:strRef>
          </c:tx>
          <c:marker>
            <c:symbol val="none"/>
          </c:marker>
          <c:cat>
            <c:numRef>
              <c:f>Engine!$B$22:$B$34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Engine!$AC$22:$AC$31</c:f>
              <c:numCache>
                <c:formatCode>#,##0</c:formatCode>
                <c:ptCount val="10"/>
                <c:pt idx="0">
                  <c:v>26866746882.520912</c:v>
                </c:pt>
                <c:pt idx="1">
                  <c:v>30833718750</c:v>
                </c:pt>
                <c:pt idx="2">
                  <c:v>31802288271.103897</c:v>
                </c:pt>
                <c:pt idx="3">
                  <c:v>34381527115.112747</c:v>
                </c:pt>
                <c:pt idx="4">
                  <c:v>34061372886.871449</c:v>
                </c:pt>
                <c:pt idx="5">
                  <c:v>33746657095.820633</c:v>
                </c:pt>
                <c:pt idx="6">
                  <c:v>33437314959.611107</c:v>
                </c:pt>
                <c:pt idx="7">
                  <c:v>33133281076.696548</c:v>
                </c:pt>
                <c:pt idx="8">
                  <c:v>32834489528.972202</c:v>
                </c:pt>
                <c:pt idx="9">
                  <c:v>32540873977.663044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001-324A-8202-2AF86301C2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67522412"/>
        <c:axId val="803276859"/>
      </c:lineChart>
      <c:catAx>
        <c:axId val="3675224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sv-SE"/>
              </a:p>
            </c:rich>
          </c:tx>
          <c:overlay val="0"/>
        </c:title>
        <c:numFmt formatCode="General" sourceLinked="1"/>
        <c:majorTickMark val="cross"/>
        <c:minorTickMark val="cross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endParaRPr lang="sv-SE"/>
          </a:p>
        </c:txPr>
        <c:crossAx val="803276859"/>
        <c:crosses val="autoZero"/>
        <c:auto val="1"/>
        <c:lblAlgn val="ctr"/>
        <c:lblOffset val="100"/>
        <c:noMultiLvlLbl val="1"/>
      </c:catAx>
      <c:valAx>
        <c:axId val="803276859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sv-SE"/>
              </a:p>
            </c:rich>
          </c:tx>
          <c:overlay val="0"/>
        </c:title>
        <c:numFmt formatCode="#,##0" sourceLinked="1"/>
        <c:majorTickMark val="cross"/>
        <c:minorTickMark val="cross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endParaRPr lang="sv-SE"/>
          </a:p>
        </c:txPr>
        <c:crossAx val="367522412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000000"/>
              </a:solidFill>
              <a:latin typeface="Roboto"/>
            </a:defRPr>
          </a:pPr>
          <a:endParaRPr lang="sv-SE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r>
              <a:rPr lang="sv-SE"/>
              <a:t>Company Profitability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Engine!$AI$21</c:f>
              <c:strCache>
                <c:ptCount val="1"/>
                <c:pt idx="0">
                  <c:v>SPent-expenses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cat>
            <c:numRef>
              <c:f>Engine!$B$22:$B$31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</c:numCache>
            </c:numRef>
          </c:cat>
          <c:val>
            <c:numRef>
              <c:f>Engine!$AI$22:$AI$31</c:f>
              <c:numCache>
                <c:formatCode>#,##0</c:formatCode>
                <c:ptCount val="10"/>
                <c:pt idx="0">
                  <c:v>7365969387.7997742</c:v>
                </c:pt>
                <c:pt idx="1">
                  <c:v>9344039062.5</c:v>
                </c:pt>
                <c:pt idx="2">
                  <c:v>10208143320.616884</c:v>
                </c:pt>
                <c:pt idx="3">
                  <c:v>12215949294.032307</c:v>
                </c:pt>
                <c:pt idx="4">
                  <c:v>12072218318.547443</c:v>
                </c:pt>
                <c:pt idx="5">
                  <c:v>11926680930.632648</c:v>
                </c:pt>
                <c:pt idx="6">
                  <c:v>11779439222.887775</c:v>
                </c:pt>
                <c:pt idx="7">
                  <c:v>11630589856.54118</c:v>
                </c:pt>
                <c:pt idx="8">
                  <c:v>11480224341.783333</c:v>
                </c:pt>
                <c:pt idx="9">
                  <c:v>11328429303.274233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45D9-D145-88A9-9BE3491724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64122163"/>
        <c:axId val="155377001"/>
      </c:barChart>
      <c:catAx>
        <c:axId val="116412216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sv-SE"/>
              </a:p>
            </c:rich>
          </c:tx>
          <c:overlay val="0"/>
        </c:title>
        <c:numFmt formatCode="General" sourceLinked="1"/>
        <c:majorTickMark val="cross"/>
        <c:minorTickMark val="cross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endParaRPr lang="sv-SE"/>
          </a:p>
        </c:txPr>
        <c:crossAx val="155377001"/>
        <c:crosses val="autoZero"/>
        <c:auto val="1"/>
        <c:lblAlgn val="ctr"/>
        <c:lblOffset val="100"/>
        <c:noMultiLvlLbl val="1"/>
      </c:catAx>
      <c:valAx>
        <c:axId val="155377001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sv-SE"/>
              </a:p>
            </c:rich>
          </c:tx>
          <c:overlay val="0"/>
        </c:title>
        <c:numFmt formatCode="#,##0" sourceLinked="1"/>
        <c:majorTickMark val="cross"/>
        <c:minorTickMark val="cross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endParaRPr lang="sv-SE"/>
          </a:p>
        </c:txPr>
        <c:crossAx val="1164122163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000000"/>
              </a:solidFill>
              <a:latin typeface="Roboto"/>
            </a:defRPr>
          </a:pPr>
          <a:endParaRPr lang="sv-SE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sv-SE"/>
              <a:t>Government: employees and popularity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1"/>
        <c:ser>
          <c:idx val="0"/>
          <c:order val="0"/>
          <c:tx>
            <c:strRef>
              <c:f>'Graph engine'!$P$16</c:f>
              <c:strCache>
                <c:ptCount val="1"/>
                <c:pt idx="0">
                  <c:v>Gov employees start= 100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v-S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'Graph engine'!$O$17:$O$29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'Graph engine'!$P$17:$P$29</c:f>
              <c:numCache>
                <c:formatCode>General</c:formatCode>
                <c:ptCount val="13"/>
                <c:pt idx="0">
                  <c:v>100</c:v>
                </c:pt>
                <c:pt idx="1">
                  <c:v>98</c:v>
                </c:pt>
                <c:pt idx="2" formatCode="#,##0.00">
                  <c:v>96.039999999999992</c:v>
                </c:pt>
                <c:pt idx="3" formatCode="#,##0.00">
                  <c:v>94.119199999999992</c:v>
                </c:pt>
                <c:pt idx="4" formatCode="#,##0.00">
                  <c:v>92.23681599999999</c:v>
                </c:pt>
                <c:pt idx="5" formatCode="#,##0.00">
                  <c:v>90.392079679999995</c:v>
                </c:pt>
                <c:pt idx="6" formatCode="#,##0.00">
                  <c:v>88.584238086399992</c:v>
                </c:pt>
                <c:pt idx="7" formatCode="#,##0.00">
                  <c:v>86.812553324671995</c:v>
                </c:pt>
                <c:pt idx="8" formatCode="#,##0.00">
                  <c:v>85.076302258178558</c:v>
                </c:pt>
                <c:pt idx="9" formatCode="#,##0.00">
                  <c:v>83.374776213014982</c:v>
                </c:pt>
                <c:pt idx="10" formatCode="#,##0.00">
                  <c:v>81.707280688754679</c:v>
                </c:pt>
                <c:pt idx="11" formatCode="#,##0.00">
                  <c:v>80.073135074979589</c:v>
                </c:pt>
                <c:pt idx="12" formatCode="#,##0.00">
                  <c:v>78.47167237347999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E65-1E45-B776-0CCEA0DE24E6}"/>
            </c:ext>
          </c:extLst>
        </c:ser>
        <c:ser>
          <c:idx val="1"/>
          <c:order val="1"/>
          <c:tx>
            <c:strRef>
              <c:f>'Graph engine'!$Q$16</c:f>
              <c:strCache>
                <c:ptCount val="1"/>
                <c:pt idx="0">
                  <c:v>Government popularity start = 50</c:v>
                </c:pt>
              </c:strCache>
            </c:strRef>
          </c:tx>
          <c:spPr>
            <a:ln w="3810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v-S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'Graph engine'!$O$17:$O$29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'Graph engine'!$Q$17:$Q$29</c:f>
              <c:numCache>
                <c:formatCode>0</c:formatCode>
                <c:ptCount val="13"/>
                <c:pt idx="0">
                  <c:v>50</c:v>
                </c:pt>
                <c:pt idx="1">
                  <c:v>80</c:v>
                </c:pt>
                <c:pt idx="2">
                  <c:v>80</c:v>
                </c:pt>
                <c:pt idx="3">
                  <c:v>80</c:v>
                </c:pt>
                <c:pt idx="4">
                  <c:v>80</c:v>
                </c:pt>
                <c:pt idx="5">
                  <c:v>80</c:v>
                </c:pt>
                <c:pt idx="6">
                  <c:v>80</c:v>
                </c:pt>
                <c:pt idx="7">
                  <c:v>80</c:v>
                </c:pt>
                <c:pt idx="8">
                  <c:v>80</c:v>
                </c:pt>
                <c:pt idx="9">
                  <c:v>80</c:v>
                </c:pt>
                <c:pt idx="10">
                  <c:v>80</c:v>
                </c:pt>
                <c:pt idx="11">
                  <c:v>80</c:v>
                </c:pt>
                <c:pt idx="12">
                  <c:v>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E65-1E45-B776-0CCEA0DE24E6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893612559"/>
        <c:axId val="33650913"/>
      </c:lineChart>
      <c:catAx>
        <c:axId val="89361255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sv-SE"/>
                  <a:t>ROUND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33650913"/>
        <c:crosses val="autoZero"/>
        <c:auto val="1"/>
        <c:lblAlgn val="ctr"/>
        <c:lblOffset val="100"/>
        <c:noMultiLvlLbl val="1"/>
      </c:catAx>
      <c:valAx>
        <c:axId val="3365091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sv-SE"/>
                  <a:t>Gov employees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8936125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v-SE"/>
        </a:p>
      </c:txPr>
    </c:legend>
    <c:plotVisOnly val="1"/>
    <c:dispBlanksAs val="zero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1"/>
  <c:style val="2"/>
  <c:chart>
    <c:autoTitleDeleted val="1"/>
    <c:plotArea>
      <c:layout/>
      <c:lineChart>
        <c:grouping val="standard"/>
        <c:varyColors val="1"/>
        <c:ser>
          <c:idx val="0"/>
          <c:order val="0"/>
          <c:tx>
            <c:strRef>
              <c:f>'Graph engine'!$B$1</c:f>
              <c:strCache>
                <c:ptCount val="1"/>
                <c:pt idx="0">
                  <c:v> Average Wage start=50/100</c:v>
                </c:pt>
              </c:strCache>
            </c:strRef>
          </c:tx>
          <c:marker>
            <c:symbol val="none"/>
          </c:marker>
          <c:cat>
            <c:numRef>
              <c:f>'Graph engine'!$A$2:$A$11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</c:numCache>
            </c:numRef>
          </c:cat>
          <c:val>
            <c:numRef>
              <c:f>'Graph engine'!$B$2:$B$11</c:f>
              <c:numCache>
                <c:formatCode>#,##0.00</c:formatCode>
                <c:ptCount val="10"/>
                <c:pt idx="0">
                  <c:v>50</c:v>
                </c:pt>
                <c:pt idx="1">
                  <c:v>55</c:v>
                </c:pt>
                <c:pt idx="2" formatCode="General">
                  <c:v>55</c:v>
                </c:pt>
                <c:pt idx="3" formatCode="General">
                  <c:v>55</c:v>
                </c:pt>
                <c:pt idx="4" formatCode="General">
                  <c:v>55</c:v>
                </c:pt>
                <c:pt idx="5" formatCode="General">
                  <c:v>55</c:v>
                </c:pt>
                <c:pt idx="6" formatCode="General">
                  <c:v>55</c:v>
                </c:pt>
                <c:pt idx="7" formatCode="General">
                  <c:v>55</c:v>
                </c:pt>
                <c:pt idx="8" formatCode="General">
                  <c:v>55</c:v>
                </c:pt>
                <c:pt idx="9" formatCode="General">
                  <c:v>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A82-7F4A-AA24-6B5BD371A42E}"/>
            </c:ext>
          </c:extLst>
        </c:ser>
        <c:ser>
          <c:idx val="1"/>
          <c:order val="1"/>
          <c:tx>
            <c:strRef>
              <c:f>'Graph engine'!$E$1</c:f>
              <c:strCache>
                <c:ptCount val="1"/>
                <c:pt idx="0">
                  <c:v>Wages after tax &amp; VAT</c:v>
                </c:pt>
              </c:strCache>
            </c:strRef>
          </c:tx>
          <c:marker>
            <c:symbol val="none"/>
          </c:marker>
          <c:cat>
            <c:numRef>
              <c:f>'Graph engine'!$A$2:$A$11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</c:numCache>
            </c:numRef>
          </c:cat>
          <c:val>
            <c:numRef>
              <c:f>'Graph engine'!$E$2:$E$11</c:f>
              <c:numCache>
                <c:formatCode>General</c:formatCode>
                <c:ptCount val="10"/>
                <c:pt idx="0">
                  <c:v>28</c:v>
                </c:pt>
                <c:pt idx="1">
                  <c:v>28.6</c:v>
                </c:pt>
                <c:pt idx="2">
                  <c:v>28.373015873015873</c:v>
                </c:pt>
                <c:pt idx="3">
                  <c:v>28.149606299212596</c:v>
                </c:pt>
                <c:pt idx="4">
                  <c:v>27.9296875</c:v>
                </c:pt>
                <c:pt idx="5">
                  <c:v>27.713178294573641</c:v>
                </c:pt>
                <c:pt idx="6">
                  <c:v>27.5</c:v>
                </c:pt>
                <c:pt idx="7">
                  <c:v>27.29007633587786</c:v>
                </c:pt>
                <c:pt idx="8">
                  <c:v>27.083333333333332</c:v>
                </c:pt>
                <c:pt idx="9">
                  <c:v>26.8796992481203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A82-7F4A-AA24-6B5BD371A42E}"/>
            </c:ext>
          </c:extLst>
        </c:ser>
        <c:ser>
          <c:idx val="2"/>
          <c:order val="2"/>
          <c:tx>
            <c:strRef>
              <c:f>'Graph engine'!$F$1</c:f>
              <c:strCache>
                <c:ptCount val="1"/>
                <c:pt idx="0">
                  <c:v>UBI after VAT</c:v>
                </c:pt>
              </c:strCache>
            </c:strRef>
          </c:tx>
          <c:marker>
            <c:symbol val="none"/>
          </c:marker>
          <c:cat>
            <c:numRef>
              <c:f>'Graph engine'!$A$2:$A$11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</c:numCache>
            </c:numRef>
          </c:cat>
          <c:val>
            <c:numRef>
              <c:f>'Graph engine'!$F$2:$F$11</c:f>
              <c:numCache>
                <c:formatCode>General</c:formatCode>
                <c:ptCount val="10"/>
                <c:pt idx="0">
                  <c:v>1.3333333333333335</c:v>
                </c:pt>
                <c:pt idx="1">
                  <c:v>2.666666666666667</c:v>
                </c:pt>
                <c:pt idx="2">
                  <c:v>5.2910052910052912</c:v>
                </c:pt>
                <c:pt idx="3">
                  <c:v>10.498687664041995</c:v>
                </c:pt>
                <c:pt idx="4">
                  <c:v>10.416666666666666</c:v>
                </c:pt>
                <c:pt idx="5">
                  <c:v>10.335917312661499</c:v>
                </c:pt>
                <c:pt idx="6">
                  <c:v>10.256410256410257</c:v>
                </c:pt>
                <c:pt idx="7">
                  <c:v>10.178117048346056</c:v>
                </c:pt>
                <c:pt idx="8">
                  <c:v>10.1010101010101</c:v>
                </c:pt>
                <c:pt idx="9">
                  <c:v>10.025062656641603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A82-7F4A-AA24-6B5BD371A42E}"/>
            </c:ext>
          </c:extLst>
        </c:ser>
        <c:ser>
          <c:idx val="3"/>
          <c:order val="3"/>
          <c:tx>
            <c:strRef>
              <c:f>'Graph engine'!$G$1</c:f>
              <c:strCache>
                <c:ptCount val="1"/>
                <c:pt idx="0">
                  <c:v>UBI compared to average wage</c:v>
                </c:pt>
              </c:strCache>
            </c:strRef>
          </c:tx>
          <c:marker>
            <c:symbol val="none"/>
          </c:marker>
          <c:cat>
            <c:numRef>
              <c:f>'Graph engine'!$A$2:$A$11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</c:numCache>
            </c:numRef>
          </c:cat>
          <c:val>
            <c:numRef>
              <c:f>'Graph engine'!$G$2:$G$11</c:f>
              <c:numCache>
                <c:formatCode>#,##0.00</c:formatCode>
                <c:ptCount val="10"/>
                <c:pt idx="0">
                  <c:v>1.6666666666666667</c:v>
                </c:pt>
                <c:pt idx="1">
                  <c:v>3.3333333333333335</c:v>
                </c:pt>
                <c:pt idx="2">
                  <c:v>6.666666666666667</c:v>
                </c:pt>
                <c:pt idx="3">
                  <c:v>13.333333333333334</c:v>
                </c:pt>
                <c:pt idx="4">
                  <c:v>13.333333333333334</c:v>
                </c:pt>
                <c:pt idx="5">
                  <c:v>13.333333333333334</c:v>
                </c:pt>
                <c:pt idx="6">
                  <c:v>13.333333333333334</c:v>
                </c:pt>
                <c:pt idx="7">
                  <c:v>13.333333333333334</c:v>
                </c:pt>
                <c:pt idx="8">
                  <c:v>13.333333333333334</c:v>
                </c:pt>
                <c:pt idx="9">
                  <c:v>13.333333333333334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A82-7F4A-AA24-6B5BD371A42E}"/>
            </c:ext>
          </c:extLst>
        </c:ser>
        <c:ser>
          <c:idx val="4"/>
          <c:order val="4"/>
          <c:tx>
            <c:strRef>
              <c:f>'Graph engine'!$H$1</c:f>
              <c:strCache>
                <c:ptCount val="1"/>
                <c:pt idx="0">
                  <c:v>VAT Rate in %</c:v>
                </c:pt>
              </c:strCache>
            </c:strRef>
          </c:tx>
          <c:marker>
            <c:symbol val="none"/>
          </c:marker>
          <c:cat>
            <c:numRef>
              <c:f>'Graph engine'!$A$2:$A$11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</c:numCache>
            </c:numRef>
          </c:cat>
          <c:val>
            <c:numRef>
              <c:f>'Graph engine'!$H$2:$H$11</c:f>
              <c:numCache>
                <c:formatCode>0</c:formatCode>
                <c:ptCount val="10"/>
                <c:pt idx="0">
                  <c:v>25</c:v>
                </c:pt>
                <c:pt idx="1">
                  <c:v>25</c:v>
                </c:pt>
                <c:pt idx="2">
                  <c:v>26</c:v>
                </c:pt>
                <c:pt idx="3">
                  <c:v>27</c:v>
                </c:pt>
                <c:pt idx="4">
                  <c:v>28</c:v>
                </c:pt>
                <c:pt idx="5">
                  <c:v>29</c:v>
                </c:pt>
                <c:pt idx="6">
                  <c:v>30</c:v>
                </c:pt>
                <c:pt idx="7">
                  <c:v>31</c:v>
                </c:pt>
                <c:pt idx="8">
                  <c:v>32</c:v>
                </c:pt>
                <c:pt idx="9">
                  <c:v>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EA82-7F4A-AA24-6B5BD371A42E}"/>
            </c:ext>
          </c:extLst>
        </c:ser>
        <c:ser>
          <c:idx val="5"/>
          <c:order val="5"/>
          <c:tx>
            <c:strRef>
              <c:f>'Graph engine'!$I$1</c:f>
              <c:strCache>
                <c:ptCount val="1"/>
                <c:pt idx="0">
                  <c:v>Tax on work%</c:v>
                </c:pt>
              </c:strCache>
            </c:strRef>
          </c:tx>
          <c:spPr>
            <a:ln w="19050" cmpd="sng">
              <a:solidFill>
                <a:srgbClr val="46BDC6"/>
              </a:solidFill>
              <a:prstDash val="dash"/>
            </a:ln>
          </c:spPr>
          <c:marker>
            <c:symbol val="none"/>
          </c:marker>
          <c:cat>
            <c:numRef>
              <c:f>'Graph engine'!$A$2:$A$11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</c:numCache>
            </c:numRef>
          </c:cat>
          <c:val>
            <c:numRef>
              <c:f>'Graph engine'!$I$2:$I$11</c:f>
              <c:numCache>
                <c:formatCode>0</c:formatCode>
                <c:ptCount val="10"/>
                <c:pt idx="0">
                  <c:v>60</c:v>
                </c:pt>
                <c:pt idx="1">
                  <c:v>70</c:v>
                </c:pt>
                <c:pt idx="2">
                  <c:v>70</c:v>
                </c:pt>
                <c:pt idx="3">
                  <c:v>70</c:v>
                </c:pt>
                <c:pt idx="4">
                  <c:v>70</c:v>
                </c:pt>
                <c:pt idx="5">
                  <c:v>70</c:v>
                </c:pt>
                <c:pt idx="6">
                  <c:v>70</c:v>
                </c:pt>
                <c:pt idx="7">
                  <c:v>70</c:v>
                </c:pt>
                <c:pt idx="8">
                  <c:v>70</c:v>
                </c:pt>
                <c:pt idx="9">
                  <c:v>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EA82-7F4A-AA24-6B5BD371A4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0353118"/>
        <c:axId val="1009855748"/>
      </c:lineChart>
      <c:catAx>
        <c:axId val="107035311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sv-SE"/>
              </a:p>
            </c:rich>
          </c:tx>
          <c:overlay val="0"/>
        </c:title>
        <c:numFmt formatCode="General" sourceLinked="1"/>
        <c:majorTickMark val="cross"/>
        <c:minorTickMark val="cross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endParaRPr lang="sv-SE"/>
          </a:p>
        </c:txPr>
        <c:crossAx val="1009855748"/>
        <c:crosses val="autoZero"/>
        <c:auto val="1"/>
        <c:lblAlgn val="ctr"/>
        <c:lblOffset val="100"/>
        <c:noMultiLvlLbl val="1"/>
      </c:catAx>
      <c:valAx>
        <c:axId val="100985574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sv-SE"/>
              </a:p>
            </c:rich>
          </c:tx>
          <c:overlay val="0"/>
        </c:title>
        <c:numFmt formatCode="#,##0.00" sourceLinked="1"/>
        <c:majorTickMark val="cross"/>
        <c:minorTickMark val="cross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endParaRPr lang="sv-SE"/>
          </a:p>
        </c:txPr>
        <c:crossAx val="1070353118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000000"/>
              </a:solidFill>
              <a:latin typeface="Roboto"/>
            </a:defRPr>
          </a:pPr>
          <a:endParaRPr lang="sv-SE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rotection>
    <c:chartObject val="0"/>
    <c:data val="0"/>
    <c:formatting val="0"/>
    <c:selection val="0"/>
    <c:userInterface val="0"/>
  </c:protection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E6D8-5B42-98DE-87258D120939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E6D8-5B42-98DE-87258D120939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E6D8-5B42-98DE-87258D120939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E6D8-5B42-98DE-87258D120939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2400" b="1" i="0" u="none" strike="noStrike" kern="1200" baseline="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sv-SE"/>
                </a:p>
              </c:txPr>
              <c:dLblPos val="in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1-E6D8-5B42-98DE-87258D120939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2400" b="1" i="0" u="none" strike="noStrike" kern="1200" baseline="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sv-SE"/>
                </a:p>
              </c:txPr>
              <c:dLblPos val="in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3-E6D8-5B42-98DE-87258D120939}"/>
                </c:ext>
              </c:extLst>
            </c:dLbl>
            <c:dLbl>
              <c:idx val="2"/>
              <c:tx>
                <c:rich>
                  <a:bodyPr rot="0" spcFirstLastPara="1" vertOverflow="overflow" horzOverflow="overflow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800" b="1" i="0" u="none" strike="noStrike" kern="1200" baseline="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3BF95B20-4F84-A445-8AFE-1C78C1934C12}" type="CATEGORYNAME">
                      <a:rPr lang="en-US" sz="1800"/>
                      <a:pPr>
                        <a:defRPr sz="1800"/>
                      </a:pPr>
                      <a:t>[KATEGORINAMN]</a:t>
                    </a:fld>
                    <a:r>
                      <a:rPr lang="en-US" sz="1800" baseline="0"/>
                      <a:t>
</a:t>
                    </a:r>
                    <a:fld id="{0F4C118C-4A99-C946-808A-D3F4C6DAB548}" type="PERCENTAGE">
                      <a:rPr lang="en-US" sz="1800" baseline="0"/>
                      <a:pPr>
                        <a:defRPr sz="1800"/>
                      </a:pPr>
                      <a:t>[PROCENT]</a:t>
                    </a:fld>
                    <a:endParaRPr lang="en-US" sz="1800" baseline="0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800" b="1" i="0" u="none" strike="noStrike" kern="1200" baseline="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sv-SE"/>
                </a:p>
              </c:txPr>
              <c:dLblPos val="in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6240772062780587"/>
                      <c:h val="7.7810420379881673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E6D8-5B42-98DE-87258D120939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148CFC39-68D6-2E4B-AA2C-D13CF4842B36}" type="CATEGORYNAME">
                      <a:rPr lang="en-US" sz="2000"/>
                      <a:pPr/>
                      <a:t>[KATEGORINAMN]</a:t>
                    </a:fld>
                    <a:r>
                      <a:rPr lang="en-US" baseline="0"/>
                      <a:t>
</a:t>
                    </a:r>
                    <a:fld id="{F650921A-EDE8-6842-B6A5-60309C2BC272}" type="PERCENTAGE">
                      <a:rPr lang="en-US" sz="3200" baseline="0">
                        <a:solidFill>
                          <a:srgbClr val="FF0000"/>
                        </a:solidFill>
                      </a:rPr>
                      <a:pPr/>
                      <a:t>[PROCENT]</a:t>
                    </a:fld>
                    <a:endParaRPr lang="en-US" baseline="0"/>
                  </a:p>
                </c:rich>
              </c:tx>
              <c:dLblPos val="in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E6D8-5B42-98DE-87258D12093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sv-SE"/>
              </a:p>
            </c:txPr>
            <c:dLblPos val="in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'Graph engine'!$U$14:$X$14</c:f>
              <c:strCache>
                <c:ptCount val="4"/>
                <c:pt idx="0">
                  <c:v>Social costs</c:v>
                </c:pt>
                <c:pt idx="1">
                  <c:v>Education and health</c:v>
                </c:pt>
                <c:pt idx="2">
                  <c:v>Infrastructure</c:v>
                </c:pt>
                <c:pt idx="3">
                  <c:v>Police, justice, administration</c:v>
                </c:pt>
              </c:strCache>
            </c:strRef>
          </c:cat>
          <c:val>
            <c:numRef>
              <c:f>'Graph engine'!$U$15:$X$15</c:f>
              <c:numCache>
                <c:formatCode>General</c:formatCode>
                <c:ptCount val="4"/>
                <c:pt idx="0">
                  <c:v>42</c:v>
                </c:pt>
                <c:pt idx="1">
                  <c:v>27</c:v>
                </c:pt>
                <c:pt idx="2">
                  <c:v>10</c:v>
                </c:pt>
                <c:pt idx="3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6D8-5B42-98DE-87258D120939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v-SE"/>
        </a:p>
      </c:txPr>
    </c:legend>
    <c:plotVisOnly val="1"/>
    <c:dispBlanksAs val="zero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v-SE"/>
    </a:p>
  </c:txPr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rotection>
    <c:chartObject val="0"/>
    <c:data val="0"/>
    <c:formatting val="0"/>
    <c:selection val="0"/>
    <c:userInterface val="0"/>
  </c:protection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sv-SE"/>
              <a:t>State Income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v-SE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5B46-3A4F-B595-54E532D4152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5B46-3A4F-B595-54E532D4152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5B46-3A4F-B595-54E532D41520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3200" b="1" i="0" u="none" strike="noStrike" kern="1200" baseline="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sv-SE"/>
                </a:p>
              </c:txPr>
              <c:dLblPos val="in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1-5B46-3A4F-B595-54E532D41520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4400" b="1" i="0" u="none" strike="noStrike" kern="1200" baseline="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sv-SE"/>
                </a:p>
              </c:txPr>
              <c:dLblPos val="in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3-5B46-3A4F-B595-54E532D41520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2800" b="1" i="0" u="none" strike="noStrike" kern="1200" baseline="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sv-SE"/>
                </a:p>
              </c:txPr>
              <c:dLblPos val="in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5-5B46-3A4F-B595-54E532D4152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sv-SE"/>
              </a:p>
            </c:txPr>
            <c:dLblPos val="in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Engine!$C$21:$E$21</c:f>
              <c:strCache>
                <c:ptCount val="3"/>
                <c:pt idx="0">
                  <c:v>VAT</c:v>
                </c:pt>
                <c:pt idx="1">
                  <c:v>Tax on work </c:v>
                </c:pt>
                <c:pt idx="2">
                  <c:v>Other</c:v>
                </c:pt>
              </c:strCache>
            </c:strRef>
          </c:cat>
          <c:val>
            <c:numRef>
              <c:f>Engine!$C$22:$E$22</c:f>
              <c:numCache>
                <c:formatCode>#,##0</c:formatCode>
                <c:ptCount val="3"/>
                <c:pt idx="0">
                  <c:v>2449431792.9818192</c:v>
                </c:pt>
                <c:pt idx="1">
                  <c:v>10227272619.272728</c:v>
                </c:pt>
                <c:pt idx="2" formatCode="General">
                  <c:v>3169176103.0636368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B46-3A4F-B595-54E532D41520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solidFill>
          <a:schemeClr val="lt1">
            <a:alpha val="78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v-S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pattFill prst="dkDnDiag">
      <a:fgClr>
        <a:schemeClr val="lt1">
          <a:lumMod val="95000"/>
        </a:schemeClr>
      </a:fgClr>
      <a:bgClr>
        <a:schemeClr val="lt1"/>
      </a:bgClr>
    </a:patt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v-SE"/>
    </a:p>
  </c:txPr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rotection>
    <c:chartObject val="0"/>
    <c:data val="0"/>
    <c:formatting val="0"/>
    <c:selection val="0"/>
    <c:userInterface val="0"/>
  </c:protection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sv-SE"/>
              <a:t>State</a:t>
            </a:r>
            <a:r>
              <a:rPr lang="sv-SE" baseline="0"/>
              <a:t> Income main sources</a:t>
            </a:r>
            <a:endParaRPr lang="sv-SE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v-SE"/>
        </a:p>
      </c:txPr>
    </c:title>
    <c:autoTitleDeleted val="0"/>
    <c:plotArea>
      <c:layout/>
      <c:barChart>
        <c:barDir val="col"/>
        <c:grouping val="stacked"/>
        <c:varyColors val="0"/>
        <c:ser>
          <c:idx val="1"/>
          <c:order val="0"/>
          <c:tx>
            <c:strRef>
              <c:f>Engine!$C$21</c:f>
              <c:strCache>
                <c:ptCount val="1"/>
                <c:pt idx="0">
                  <c:v>VAT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Engine!$B$22:$B$34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Engine!$C$22:$C$34</c:f>
              <c:numCache>
                <c:formatCode>#,##0</c:formatCode>
                <c:ptCount val="13"/>
                <c:pt idx="0">
                  <c:v>2449431792.9818192</c:v>
                </c:pt>
                <c:pt idx="1">
                  <c:v>2519431818.181818</c:v>
                </c:pt>
                <c:pt idx="2">
                  <c:v>2694144480.5194798</c:v>
                </c:pt>
                <c:pt idx="3">
                  <c:v>3031826569.4345036</c:v>
                </c:pt>
                <c:pt idx="4">
                  <c:v>3088085267.47159</c:v>
                </c:pt>
                <c:pt idx="5">
                  <c:v>3141888243.445385</c:v>
                </c:pt>
                <c:pt idx="6">
                  <c:v>3193345282.6862946</c:v>
                </c:pt>
                <c:pt idx="7">
                  <c:v>3242561333.6537991</c:v>
                </c:pt>
                <c:pt idx="8">
                  <c:v>3289636729.1632252</c:v>
                </c:pt>
                <c:pt idx="9">
                  <c:v>3334667396.70825</c:v>
                </c:pt>
                <c:pt idx="10">
                  <c:v>3410078237.8821125</c:v>
                </c:pt>
                <c:pt idx="11">
                  <c:v>3484371881.4089565</c:v>
                </c:pt>
                <c:pt idx="12">
                  <c:v>3557572971.3545208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79-984C-B528-1CBCCD13BDC0}"/>
            </c:ext>
          </c:extLst>
        </c:ser>
        <c:ser>
          <c:idx val="2"/>
          <c:order val="1"/>
          <c:tx>
            <c:strRef>
              <c:f>Engine!$D$21</c:f>
              <c:strCache>
                <c:ptCount val="1"/>
                <c:pt idx="0">
                  <c:v>Tax on work 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Engine!$B$22:$B$34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Engine!$D$22:$D$34</c:f>
              <c:numCache>
                <c:formatCode>#,##0</c:formatCode>
                <c:ptCount val="13"/>
                <c:pt idx="0">
                  <c:v>10227272619.272728</c:v>
                </c:pt>
                <c:pt idx="1">
                  <c:v>12862500000</c:v>
                </c:pt>
                <c:pt idx="2">
                  <c:v>12605250000</c:v>
                </c:pt>
                <c:pt idx="3">
                  <c:v>12353145000</c:v>
                </c:pt>
                <c:pt idx="4">
                  <c:v>12106082100</c:v>
                </c:pt>
                <c:pt idx="5">
                  <c:v>11863960458</c:v>
                </c:pt>
                <c:pt idx="6">
                  <c:v>11626681248.84</c:v>
                </c:pt>
                <c:pt idx="7">
                  <c:v>11394147623.863197</c:v>
                </c:pt>
                <c:pt idx="8">
                  <c:v>11166264671.385933</c:v>
                </c:pt>
                <c:pt idx="9">
                  <c:v>10942939377.958216</c:v>
                </c:pt>
                <c:pt idx="10">
                  <c:v>10942939377.958216</c:v>
                </c:pt>
                <c:pt idx="11">
                  <c:v>10942939377.958216</c:v>
                </c:pt>
                <c:pt idx="12">
                  <c:v>10942939377.958216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579-984C-B528-1CBCCD13BDC0}"/>
            </c:ext>
          </c:extLst>
        </c:ser>
        <c:ser>
          <c:idx val="3"/>
          <c:order val="2"/>
          <c:tx>
            <c:strRef>
              <c:f>Engine!$E$21</c:f>
              <c:strCache>
                <c:ptCount val="1"/>
                <c:pt idx="0">
                  <c:v>Other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Engine!$B$22:$B$34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Engine!$E$22:$E$34</c:f>
              <c:numCache>
                <c:formatCode>General</c:formatCode>
                <c:ptCount val="13"/>
                <c:pt idx="0">
                  <c:v>3169176103.0636368</c:v>
                </c:pt>
                <c:pt idx="1">
                  <c:v>3845482954.5454545</c:v>
                </c:pt>
                <c:pt idx="2">
                  <c:v>3824848620.1298699</c:v>
                </c:pt>
                <c:pt idx="3">
                  <c:v>3846242892.3586259</c:v>
                </c:pt>
                <c:pt idx="4">
                  <c:v>3798541841.867898</c:v>
                </c:pt>
                <c:pt idx="5">
                  <c:v>3751462175.3613462</c:v>
                </c:pt>
                <c:pt idx="6">
                  <c:v>3705006632.8815737</c:v>
                </c:pt>
                <c:pt idx="7">
                  <c:v>3659177239.3792486</c:v>
                </c:pt>
                <c:pt idx="8">
                  <c:v>3613975350.1372895</c:v>
                </c:pt>
                <c:pt idx="9">
                  <c:v>3569401693.6666169</c:v>
                </c:pt>
                <c:pt idx="10">
                  <c:v>3588254403.9600821</c:v>
                </c:pt>
                <c:pt idx="11">
                  <c:v>3606827814.8417931</c:v>
                </c:pt>
                <c:pt idx="12">
                  <c:v>3625128087.3281846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579-984C-B528-1CBCCD13BD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96674080"/>
        <c:axId val="696836464"/>
      </c:barChart>
      <c:catAx>
        <c:axId val="696674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696836464"/>
        <c:crosses val="autoZero"/>
        <c:auto val="1"/>
        <c:lblAlgn val="ctr"/>
        <c:lblOffset val="100"/>
        <c:noMultiLvlLbl val="0"/>
      </c:catAx>
      <c:valAx>
        <c:axId val="6968364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6966740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v-S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v-SE"/>
    </a:p>
  </c:txPr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1"/>
  <c:style val="2"/>
  <c:protection>
    <c:chartObject val="0"/>
    <c:data val="0"/>
    <c:formatting val="0"/>
    <c:selection val="0"/>
    <c:userInterface val="0"/>
  </c:protection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'Graph engine'!$S$16</c:f>
              <c:strCache>
                <c:ptCount val="1"/>
                <c:pt idx="0">
                  <c:v>Social costs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cat>
            <c:numRef>
              <c:f>'Graph engine'!$P$39:$P$51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'Graph engine'!$S$17:$S$29</c:f>
              <c:numCache>
                <c:formatCode>#,##0</c:formatCode>
                <c:ptCount val="13"/>
                <c:pt idx="0">
                  <c:v>6339928907.3427277</c:v>
                </c:pt>
                <c:pt idx="1">
                  <c:v>7422105113.636364</c:v>
                </c:pt>
                <c:pt idx="2">
                  <c:v>6680818465.90909</c:v>
                </c:pt>
                <c:pt idx="3">
                  <c:v>5287073710.3167496</c:v>
                </c:pt>
                <c:pt idx="4">
                  <c:v>5101338595.1953125</c:v>
                </c:pt>
                <c:pt idx="5">
                  <c:v>4918619644.6224632</c:v>
                </c:pt>
                <c:pt idx="6">
                  <c:v>4738888387.5240307</c:v>
                </c:pt>
                <c:pt idx="7">
                  <c:v>4562115535.6360588</c:v>
                </c:pt>
                <c:pt idx="8">
                  <c:v>4388271065.205513</c:v>
                </c:pt>
                <c:pt idx="9">
                  <c:v>4217324293.6551208</c:v>
                </c:pt>
                <c:pt idx="10">
                  <c:v>4256914985.2713985</c:v>
                </c:pt>
                <c:pt idx="11">
                  <c:v>4295919148.1229916</c:v>
                </c:pt>
                <c:pt idx="12">
                  <c:v>4334349720.3444128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D83B-1949-A976-E82CEFABB3C0}"/>
            </c:ext>
          </c:extLst>
        </c:ser>
        <c:ser>
          <c:idx val="1"/>
          <c:order val="1"/>
          <c:tx>
            <c:strRef>
              <c:f>'Graph engine'!$T$16</c:f>
              <c:strCache>
                <c:ptCount val="1"/>
                <c:pt idx="0">
                  <c:v>UBI Older</c:v>
                </c:pt>
              </c:strCache>
            </c:strRef>
          </c:tx>
          <c:spPr>
            <a:solidFill>
              <a:srgbClr val="DB4437"/>
            </a:solidFill>
          </c:spPr>
          <c:invertIfNegative val="1"/>
          <c:cat>
            <c:numRef>
              <c:f>'Graph engine'!$P$39:$P$51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'Graph engine'!$T$17:$T$29</c:f>
              <c:numCache>
                <c:formatCode>#,##0</c:formatCode>
                <c:ptCount val="13"/>
                <c:pt idx="0">
                  <c:v>198863636.36363637</c:v>
                </c:pt>
                <c:pt idx="1">
                  <c:v>420454545.45454544</c:v>
                </c:pt>
                <c:pt idx="2">
                  <c:v>885454545.4545455</c:v>
                </c:pt>
                <c:pt idx="3">
                  <c:v>1858218181.8181818</c:v>
                </c:pt>
                <c:pt idx="4">
                  <c:v>1943781090.909091</c:v>
                </c:pt>
                <c:pt idx="5">
                  <c:v>2027632741.8181818</c:v>
                </c:pt>
                <c:pt idx="6">
                  <c:v>2109807359.7090912</c:v>
                </c:pt>
                <c:pt idx="7">
                  <c:v>2190338485.2421823</c:v>
                </c:pt>
                <c:pt idx="8">
                  <c:v>2269258988.2646117</c:v>
                </c:pt>
                <c:pt idx="9">
                  <c:v>2346601081.2265921</c:v>
                </c:pt>
                <c:pt idx="10">
                  <c:v>2346601081.2265921</c:v>
                </c:pt>
                <c:pt idx="11">
                  <c:v>2346601081.2265921</c:v>
                </c:pt>
                <c:pt idx="12">
                  <c:v>2346601081.2265921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1-D83B-1949-A976-E82CEFABB3C0}"/>
            </c:ext>
          </c:extLst>
        </c:ser>
        <c:ser>
          <c:idx val="2"/>
          <c:order val="2"/>
          <c:tx>
            <c:strRef>
              <c:f>'Graph engine'!$U$16</c:f>
              <c:strCache>
                <c:ptCount val="1"/>
                <c:pt idx="0">
                  <c:v>UBI young</c:v>
                </c:pt>
              </c:strCache>
            </c:strRef>
          </c:tx>
          <c:spPr>
            <a:solidFill>
              <a:srgbClr val="F4B400"/>
            </a:solidFill>
          </c:spPr>
          <c:invertIfNegative val="1"/>
          <c:cat>
            <c:numRef>
              <c:f>'Graph engine'!$P$39:$P$51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'Graph engine'!$U$17:$U$29</c:f>
              <c:numCache>
                <c:formatCode>#,##0</c:formatCode>
                <c:ptCount val="13"/>
                <c:pt idx="0">
                  <c:v>116477272.72727273</c:v>
                </c:pt>
                <c:pt idx="1">
                  <c:v>232954545.45454547</c:v>
                </c:pt>
                <c:pt idx="2">
                  <c:v>465909090.90909094</c:v>
                </c:pt>
                <c:pt idx="3">
                  <c:v>931818181.81818187</c:v>
                </c:pt>
                <c:pt idx="4">
                  <c:v>931818181.81818187</c:v>
                </c:pt>
                <c:pt idx="5">
                  <c:v>931818181.81818187</c:v>
                </c:pt>
                <c:pt idx="6">
                  <c:v>931818181.81818187</c:v>
                </c:pt>
                <c:pt idx="7">
                  <c:v>931818181.81818187</c:v>
                </c:pt>
                <c:pt idx="8">
                  <c:v>931818181.81818187</c:v>
                </c:pt>
                <c:pt idx="9">
                  <c:v>931818181.81818187</c:v>
                </c:pt>
                <c:pt idx="10">
                  <c:v>931818181.81818187</c:v>
                </c:pt>
                <c:pt idx="11">
                  <c:v>931818181.81818187</c:v>
                </c:pt>
                <c:pt idx="12">
                  <c:v>931818181.81818187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2-D83B-1949-A976-E82CEFABB3C0}"/>
            </c:ext>
          </c:extLst>
        </c:ser>
        <c:ser>
          <c:idx val="3"/>
          <c:order val="3"/>
          <c:tx>
            <c:strRef>
              <c:f>'Graph engine'!$V$16</c:f>
              <c:strCache>
                <c:ptCount val="1"/>
                <c:pt idx="0">
                  <c:v>Education and health</c:v>
                </c:pt>
              </c:strCache>
            </c:strRef>
          </c:tx>
          <c:spPr>
            <a:solidFill>
              <a:srgbClr val="0F9D58"/>
            </a:solidFill>
          </c:spPr>
          <c:invertIfNegative val="1"/>
          <c:cat>
            <c:numRef>
              <c:f>'Graph engine'!$P$39:$P$51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'Graph engine'!$V$17:$V$29</c:f>
              <c:numCache>
                <c:formatCode>General</c:formatCode>
                <c:ptCount val="13"/>
                <c:pt idx="0">
                  <c:v>4278387739.1359105</c:v>
                </c:pt>
                <c:pt idx="1">
                  <c:v>5191401988.636363</c:v>
                </c:pt>
                <c:pt idx="2">
                  <c:v>5163545637.1753235</c:v>
                </c:pt>
                <c:pt idx="3">
                  <c:v>5192427904.684145</c:v>
                </c:pt>
                <c:pt idx="4">
                  <c:v>5128031486.5216618</c:v>
                </c:pt>
                <c:pt idx="5">
                  <c:v>5064473936.7378178</c:v>
                </c:pt>
                <c:pt idx="6">
                  <c:v>5001758954.3901243</c:v>
                </c:pt>
                <c:pt idx="7">
                  <c:v>4939889273.1619864</c:v>
                </c:pt>
                <c:pt idx="8">
                  <c:v>4878866722.6853409</c:v>
                </c:pt>
                <c:pt idx="9">
                  <c:v>4818692286.4499331</c:v>
                </c:pt>
                <c:pt idx="10">
                  <c:v>4844143445.3461103</c:v>
                </c:pt>
                <c:pt idx="11">
                  <c:v>4869217550.0364199</c:v>
                </c:pt>
                <c:pt idx="12">
                  <c:v>4893922917.8930492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3-D83B-1949-A976-E82CEFABB3C0}"/>
            </c:ext>
          </c:extLst>
        </c:ser>
        <c:ser>
          <c:idx val="4"/>
          <c:order val="4"/>
          <c:tx>
            <c:strRef>
              <c:f>'Graph engine'!$W$16</c:f>
              <c:strCache>
                <c:ptCount val="1"/>
                <c:pt idx="0">
                  <c:v>Infrastructure</c:v>
                </c:pt>
              </c:strCache>
            </c:strRef>
          </c:tx>
          <c:spPr>
            <a:solidFill>
              <a:srgbClr val="FF6D00"/>
            </a:solidFill>
          </c:spPr>
          <c:invertIfNegative val="1"/>
          <c:cat>
            <c:numRef>
              <c:f>'Graph engine'!$P$39:$P$51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'Graph engine'!$W$17:$W$29</c:f>
              <c:numCache>
                <c:formatCode>General</c:formatCode>
                <c:ptCount val="13"/>
                <c:pt idx="0">
                  <c:v>1584588051.5318189</c:v>
                </c:pt>
                <c:pt idx="1">
                  <c:v>1922741477.2727273</c:v>
                </c:pt>
                <c:pt idx="2">
                  <c:v>1912424310.0649345</c:v>
                </c:pt>
                <c:pt idx="3">
                  <c:v>1923121446.1793129</c:v>
                </c:pt>
                <c:pt idx="4">
                  <c:v>1899270920.933949</c:v>
                </c:pt>
                <c:pt idx="5">
                  <c:v>1875731087.6806734</c:v>
                </c:pt>
                <c:pt idx="6">
                  <c:v>1852503316.4407868</c:v>
                </c:pt>
                <c:pt idx="7">
                  <c:v>1829588619.6896243</c:v>
                </c:pt>
                <c:pt idx="8">
                  <c:v>1806987675.0686448</c:v>
                </c:pt>
                <c:pt idx="9">
                  <c:v>1784700846.8333087</c:v>
                </c:pt>
                <c:pt idx="10">
                  <c:v>1794127201.980041</c:v>
                </c:pt>
                <c:pt idx="11">
                  <c:v>1803413907.4208963</c:v>
                </c:pt>
                <c:pt idx="12">
                  <c:v>1812564043.6640925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4-D83B-1949-A976-E82CEFABB3C0}"/>
            </c:ext>
          </c:extLst>
        </c:ser>
        <c:ser>
          <c:idx val="5"/>
          <c:order val="5"/>
          <c:tx>
            <c:strRef>
              <c:f>'Graph engine'!$X$16</c:f>
              <c:strCache>
                <c:ptCount val="1"/>
                <c:pt idx="0">
                  <c:v>Police, justice, administration</c:v>
                </c:pt>
              </c:strCache>
            </c:strRef>
          </c:tx>
          <c:spPr>
            <a:solidFill>
              <a:srgbClr val="46BDC6"/>
            </a:solidFill>
          </c:spPr>
          <c:invertIfNegative val="1"/>
          <c:cat>
            <c:numRef>
              <c:f>'Graph engine'!$P$39:$P$51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'Graph engine'!$X$17:$X$29</c:f>
              <c:numCache>
                <c:formatCode>General</c:formatCode>
                <c:ptCount val="13"/>
                <c:pt idx="0">
                  <c:v>3327634908.2168188</c:v>
                </c:pt>
                <c:pt idx="1">
                  <c:v>4037757102.272727</c:v>
                </c:pt>
                <c:pt idx="2">
                  <c:v>4016091051.136363</c:v>
                </c:pt>
                <c:pt idx="3">
                  <c:v>4038555036.9765573</c:v>
                </c:pt>
                <c:pt idx="4">
                  <c:v>3988468933.9612932</c:v>
                </c:pt>
                <c:pt idx="5">
                  <c:v>3939035284.1294141</c:v>
                </c:pt>
                <c:pt idx="6">
                  <c:v>3890256964.5256519</c:v>
                </c:pt>
                <c:pt idx="7">
                  <c:v>3842136101.3482113</c:v>
                </c:pt>
                <c:pt idx="8">
                  <c:v>3794674117.6441541</c:v>
                </c:pt>
                <c:pt idx="9">
                  <c:v>3747871778.3499484</c:v>
                </c:pt>
                <c:pt idx="10">
                  <c:v>3767667124.1580863</c:v>
                </c:pt>
                <c:pt idx="11">
                  <c:v>3787169205.5838823</c:v>
                </c:pt>
                <c:pt idx="12">
                  <c:v>3806384491.6945939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5-D83B-1949-A976-E82CEFABB3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98896881"/>
        <c:axId val="1059278648"/>
      </c:barChart>
      <c:catAx>
        <c:axId val="49889688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sv-SE"/>
              </a:p>
            </c:rich>
          </c:tx>
          <c:overlay val="0"/>
        </c:title>
        <c:numFmt formatCode="General" sourceLinked="1"/>
        <c:majorTickMark val="cross"/>
        <c:minorTickMark val="cross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endParaRPr lang="sv-SE"/>
          </a:p>
        </c:txPr>
        <c:crossAx val="1059278648"/>
        <c:crosses val="autoZero"/>
        <c:auto val="1"/>
        <c:lblAlgn val="ctr"/>
        <c:lblOffset val="100"/>
        <c:noMultiLvlLbl val="1"/>
      </c:catAx>
      <c:valAx>
        <c:axId val="105927864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sv-SE"/>
              </a:p>
            </c:rich>
          </c:tx>
          <c:overlay val="0"/>
        </c:title>
        <c:numFmt formatCode="#,##0" sourceLinked="1"/>
        <c:majorTickMark val="cross"/>
        <c:minorTickMark val="cross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endParaRPr lang="sv-SE"/>
          </a:p>
        </c:txPr>
        <c:crossAx val="498896881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000000"/>
              </a:solidFill>
              <a:latin typeface="Roboto"/>
            </a:defRPr>
          </a:pPr>
          <a:endParaRPr lang="sv-SE"/>
        </a:p>
      </c:txPr>
    </c:legend>
    <c:plotVisOnly val="1"/>
    <c:dispBlanksAs val="zero"/>
    <c:showDLblsOverMax val="1"/>
  </c:chart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1"/>
  <c:style val="2"/>
  <c:protection>
    <c:chartObject val="0"/>
    <c:data val="0"/>
    <c:formatting val="0"/>
    <c:selection val="0"/>
    <c:userInterface val="0"/>
  </c:protection>
  <c:chart>
    <c:title>
      <c:tx>
        <c:rich>
          <a:bodyPr/>
          <a:lstStyle/>
          <a:p>
            <a:pPr>
              <a:defRPr/>
            </a:pPr>
            <a:r>
              <a:rPr lang="sv-SE"/>
              <a:t>UBI and</a:t>
            </a:r>
            <a:r>
              <a:rPr lang="sv-SE" baseline="0"/>
              <a:t> Wages after tax average wage start = 50</a:t>
            </a:r>
            <a:endParaRPr lang="sv-SE"/>
          </a:p>
        </c:rich>
      </c:tx>
      <c:overlay val="0"/>
    </c:title>
    <c:autoTitleDeleted val="0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'Graph engine'!$E$1</c:f>
              <c:strCache>
                <c:ptCount val="1"/>
                <c:pt idx="0">
                  <c:v>Wages after tax &amp; VAT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cat>
            <c:numRef>
              <c:f>'Graph engine'!$A$2:$A$14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'Graph engine'!$E$2:$E$14</c:f>
              <c:numCache>
                <c:formatCode>General</c:formatCode>
                <c:ptCount val="13"/>
                <c:pt idx="0">
                  <c:v>28</c:v>
                </c:pt>
                <c:pt idx="1">
                  <c:v>28.6</c:v>
                </c:pt>
                <c:pt idx="2">
                  <c:v>28.373015873015873</c:v>
                </c:pt>
                <c:pt idx="3">
                  <c:v>28.149606299212596</c:v>
                </c:pt>
                <c:pt idx="4">
                  <c:v>27.9296875</c:v>
                </c:pt>
                <c:pt idx="5">
                  <c:v>27.713178294573641</c:v>
                </c:pt>
                <c:pt idx="6">
                  <c:v>27.5</c:v>
                </c:pt>
                <c:pt idx="7">
                  <c:v>27.29007633587786</c:v>
                </c:pt>
                <c:pt idx="8">
                  <c:v>27.083333333333332</c:v>
                </c:pt>
                <c:pt idx="9">
                  <c:v>26.8796992481203</c:v>
                </c:pt>
                <c:pt idx="10">
                  <c:v>26.67910447761194</c:v>
                </c:pt>
                <c:pt idx="11">
                  <c:v>26.481481481481481</c:v>
                </c:pt>
                <c:pt idx="12">
                  <c:v>26.286764705882351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BE38-FD42-A8E4-3FD9899BC526}"/>
            </c:ext>
          </c:extLst>
        </c:ser>
        <c:ser>
          <c:idx val="1"/>
          <c:order val="1"/>
          <c:tx>
            <c:strRef>
              <c:f>'Graph engine'!$F$1</c:f>
              <c:strCache>
                <c:ptCount val="1"/>
                <c:pt idx="0">
                  <c:v>UBI after VAT</c:v>
                </c:pt>
              </c:strCache>
            </c:strRef>
          </c:tx>
          <c:spPr>
            <a:solidFill>
              <a:srgbClr val="DB4437"/>
            </a:solidFill>
          </c:spPr>
          <c:invertIfNegative val="1"/>
          <c:cat>
            <c:numRef>
              <c:f>'Graph engine'!$A$2:$A$14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'Graph engine'!$F$2:$F$14</c:f>
              <c:numCache>
                <c:formatCode>General</c:formatCode>
                <c:ptCount val="13"/>
                <c:pt idx="0">
                  <c:v>1.3333333333333335</c:v>
                </c:pt>
                <c:pt idx="1">
                  <c:v>2.666666666666667</c:v>
                </c:pt>
                <c:pt idx="2">
                  <c:v>5.2910052910052912</c:v>
                </c:pt>
                <c:pt idx="3">
                  <c:v>10.498687664041995</c:v>
                </c:pt>
                <c:pt idx="4">
                  <c:v>10.416666666666666</c:v>
                </c:pt>
                <c:pt idx="5">
                  <c:v>10.335917312661499</c:v>
                </c:pt>
                <c:pt idx="6">
                  <c:v>10.256410256410257</c:v>
                </c:pt>
                <c:pt idx="7">
                  <c:v>10.178117048346056</c:v>
                </c:pt>
                <c:pt idx="8">
                  <c:v>10.1010101010101</c:v>
                </c:pt>
                <c:pt idx="9">
                  <c:v>10.025062656641603</c:v>
                </c:pt>
                <c:pt idx="10">
                  <c:v>9.9502487562189046</c:v>
                </c:pt>
                <c:pt idx="11">
                  <c:v>9.8765432098765427</c:v>
                </c:pt>
                <c:pt idx="12">
                  <c:v>9.8039215686274499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1-BE38-FD42-A8E4-3FD9899BC5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767357409"/>
        <c:axId val="1923030364"/>
      </c:barChart>
      <c:catAx>
        <c:axId val="176735740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sv-SE"/>
              </a:p>
            </c:rich>
          </c:tx>
          <c:overlay val="0"/>
        </c:title>
        <c:numFmt formatCode="General" sourceLinked="1"/>
        <c:majorTickMark val="cross"/>
        <c:minorTickMark val="cross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endParaRPr lang="sv-SE"/>
          </a:p>
        </c:txPr>
        <c:crossAx val="1923030364"/>
        <c:crosses val="autoZero"/>
        <c:auto val="1"/>
        <c:lblAlgn val="ctr"/>
        <c:lblOffset val="100"/>
        <c:noMultiLvlLbl val="1"/>
      </c:catAx>
      <c:valAx>
        <c:axId val="1923030364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sv-SE"/>
              </a:p>
            </c:rich>
          </c:tx>
          <c:overlay val="0"/>
        </c:title>
        <c:numFmt formatCode="General" sourceLinked="1"/>
        <c:majorTickMark val="cross"/>
        <c:minorTickMark val="cross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endParaRPr lang="sv-SE"/>
          </a:p>
        </c:txPr>
        <c:crossAx val="1767357409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000000"/>
              </a:solidFill>
              <a:latin typeface="Roboto"/>
            </a:defRPr>
          </a:pPr>
          <a:endParaRPr lang="sv-SE"/>
        </a:p>
      </c:txPr>
    </c:legend>
    <c:plotVisOnly val="1"/>
    <c:dispBlanksAs val="zero"/>
    <c:showDLblsOverMax val="1"/>
  </c:chart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rotection>
    <c:chartObject val="0"/>
    <c:data val="0"/>
    <c:formatting val="0"/>
    <c:selection val="0"/>
    <c:userInterface val="0"/>
  </c:protection>
  <c:chart>
    <c:title>
      <c:tx>
        <c:rich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r>
              <a:rPr lang="sv-SE"/>
              <a:t>Numbers in work and UBI</a:t>
            </a:r>
          </a:p>
        </c:rich>
      </c:tx>
      <c:overlay val="0"/>
    </c:title>
    <c:autoTitleDeleted val="0"/>
    <c:plotArea>
      <c:layout/>
      <c:lineChart>
        <c:grouping val="standard"/>
        <c:varyColors val="1"/>
        <c:ser>
          <c:idx val="1"/>
          <c:order val="0"/>
          <c:tx>
            <c:strRef>
              <c:f>Engine!$H$21</c:f>
              <c:strCache>
                <c:ptCount val="1"/>
                <c:pt idx="0">
                  <c:v>number in work</c:v>
                </c:pt>
              </c:strCache>
            </c:strRef>
          </c:tx>
          <c:marker>
            <c:symbol val="none"/>
          </c:marker>
          <c:cat>
            <c:numRef>
              <c:f>Engine!$B$22:$B$34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Engine!$H$22:$H$34</c:f>
              <c:numCache>
                <c:formatCode>#,##0</c:formatCode>
                <c:ptCount val="13"/>
                <c:pt idx="0">
                  <c:v>5681818.1818181816</c:v>
                </c:pt>
                <c:pt idx="1">
                  <c:v>5568181.8181818184</c:v>
                </c:pt>
                <c:pt idx="2">
                  <c:v>5456818.1818181816</c:v>
                </c:pt>
                <c:pt idx="3">
                  <c:v>5347681.8181818184</c:v>
                </c:pt>
                <c:pt idx="4">
                  <c:v>5240728.1818181816</c:v>
                </c:pt>
                <c:pt idx="5">
                  <c:v>5135913.6181818182</c:v>
                </c:pt>
                <c:pt idx="6">
                  <c:v>5033195.3458181815</c:v>
                </c:pt>
                <c:pt idx="7">
                  <c:v>4932531.4389018174</c:v>
                </c:pt>
                <c:pt idx="8">
                  <c:v>4833880.8101237807</c:v>
                </c:pt>
                <c:pt idx="9">
                  <c:v>4737203.1939213052</c:v>
                </c:pt>
                <c:pt idx="10">
                  <c:v>4737203.1939213052</c:v>
                </c:pt>
                <c:pt idx="11">
                  <c:v>4737203.1939213052</c:v>
                </c:pt>
                <c:pt idx="12">
                  <c:v>4737203.1939213052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5FA-BB41-BD4F-5596B5942780}"/>
            </c:ext>
          </c:extLst>
        </c:ser>
        <c:ser>
          <c:idx val="2"/>
          <c:order val="1"/>
          <c:tx>
            <c:strRef>
              <c:f>Engine!$I$21</c:f>
              <c:strCache>
                <c:ptCount val="1"/>
                <c:pt idx="0">
                  <c:v>Number older in UBI</c:v>
                </c:pt>
              </c:strCache>
            </c:strRef>
          </c:tx>
          <c:marker>
            <c:symbol val="none"/>
          </c:marker>
          <c:cat>
            <c:numRef>
              <c:f>Engine!$B$22:$B$34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Engine!$I$22:$I$34</c:f>
              <c:numCache>
                <c:formatCode>#,##0</c:formatCode>
                <c:ptCount val="13"/>
                <c:pt idx="0">
                  <c:v>1988636.3636363638</c:v>
                </c:pt>
                <c:pt idx="1">
                  <c:v>2102272.7272727271</c:v>
                </c:pt>
                <c:pt idx="2">
                  <c:v>2213636.3636363638</c:v>
                </c:pt>
                <c:pt idx="3">
                  <c:v>2322772.7272727271</c:v>
                </c:pt>
                <c:pt idx="4">
                  <c:v>2429726.3636363638</c:v>
                </c:pt>
                <c:pt idx="5">
                  <c:v>2534540.9272727272</c:v>
                </c:pt>
                <c:pt idx="6">
                  <c:v>2637259.1996363639</c:v>
                </c:pt>
                <c:pt idx="7">
                  <c:v>2737923.106552728</c:v>
                </c:pt>
                <c:pt idx="8">
                  <c:v>2836573.7353307647</c:v>
                </c:pt>
                <c:pt idx="9">
                  <c:v>2933251.3515332402</c:v>
                </c:pt>
                <c:pt idx="10">
                  <c:v>2933251.3515332402</c:v>
                </c:pt>
                <c:pt idx="11">
                  <c:v>2933251.3515332402</c:v>
                </c:pt>
                <c:pt idx="12">
                  <c:v>2933251.3515332402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5FA-BB41-BD4F-5596B5942780}"/>
            </c:ext>
          </c:extLst>
        </c:ser>
        <c:ser>
          <c:idx val="3"/>
          <c:order val="2"/>
          <c:tx>
            <c:strRef>
              <c:f>Engine!$J$21</c:f>
              <c:strCache>
                <c:ptCount val="1"/>
                <c:pt idx="0">
                  <c:v>number youth UBI</c:v>
                </c:pt>
              </c:strCache>
            </c:strRef>
          </c:tx>
          <c:marker>
            <c:symbol val="none"/>
          </c:marker>
          <c:cat>
            <c:numRef>
              <c:f>Engine!$B$22:$B$34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Engine!$J$22:$J$34</c:f>
              <c:numCache>
                <c:formatCode>#,##0</c:formatCode>
                <c:ptCount val="13"/>
                <c:pt idx="0">
                  <c:v>2329545.4545454546</c:v>
                </c:pt>
                <c:pt idx="1">
                  <c:v>2329545.4545454546</c:v>
                </c:pt>
                <c:pt idx="2">
                  <c:v>2329545.4545454546</c:v>
                </c:pt>
                <c:pt idx="3">
                  <c:v>2329545.4545454546</c:v>
                </c:pt>
                <c:pt idx="4">
                  <c:v>2329545.4545454546</c:v>
                </c:pt>
                <c:pt idx="5">
                  <c:v>2329545.4545454546</c:v>
                </c:pt>
                <c:pt idx="6">
                  <c:v>2329545.4545454546</c:v>
                </c:pt>
                <c:pt idx="7">
                  <c:v>2329545.4545454546</c:v>
                </c:pt>
                <c:pt idx="8">
                  <c:v>2329545.4545454546</c:v>
                </c:pt>
                <c:pt idx="9">
                  <c:v>2329545.4545454546</c:v>
                </c:pt>
                <c:pt idx="10">
                  <c:v>2329545.4545454546</c:v>
                </c:pt>
                <c:pt idx="11">
                  <c:v>2329545.4545454546</c:v>
                </c:pt>
                <c:pt idx="12">
                  <c:v>2329545.4545454546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F9A-454C-A4EE-FF38FE3407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14869506"/>
        <c:axId val="226151162"/>
      </c:lineChart>
      <c:catAx>
        <c:axId val="181486950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sv-SE"/>
              </a:p>
            </c:rich>
          </c:tx>
          <c:overlay val="0"/>
        </c:title>
        <c:numFmt formatCode="General" sourceLinked="1"/>
        <c:majorTickMark val="cross"/>
        <c:minorTickMark val="cross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endParaRPr lang="sv-SE"/>
          </a:p>
        </c:txPr>
        <c:crossAx val="226151162"/>
        <c:crosses val="autoZero"/>
        <c:auto val="1"/>
        <c:lblAlgn val="ctr"/>
        <c:lblOffset val="100"/>
        <c:noMultiLvlLbl val="1"/>
      </c:catAx>
      <c:valAx>
        <c:axId val="226151162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sv-SE"/>
              </a:p>
            </c:rich>
          </c:tx>
          <c:overlay val="0"/>
        </c:title>
        <c:numFmt formatCode="#,##0" sourceLinked="1"/>
        <c:majorTickMark val="cross"/>
        <c:minorTickMark val="cross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endParaRPr lang="sv-SE"/>
          </a:p>
        </c:txPr>
        <c:crossAx val="1814869506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000000"/>
              </a:solidFill>
              <a:latin typeface="Roboto"/>
            </a:defRPr>
          </a:pPr>
          <a:endParaRPr lang="sv-SE"/>
        </a:p>
      </c:txPr>
    </c:legend>
    <c:plotVisOnly val="1"/>
    <c:dispBlanksAs val="zero"/>
    <c:showDLblsOverMax val="1"/>
  </c:chart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rotection>
    <c:chartObject val="0"/>
    <c:data val="0"/>
    <c:formatting val="0"/>
    <c:selection val="0"/>
    <c:userInterface val="0"/>
  </c:protection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sv-SE"/>
              <a:t>PERFORMANCE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v-SE"/>
        </a:p>
      </c:txPr>
    </c:title>
    <c:autoTitleDeleted val="0"/>
    <c:plotArea>
      <c:layout/>
      <c:lineChart>
        <c:grouping val="standard"/>
        <c:varyColors val="0"/>
        <c:ser>
          <c:idx val="4"/>
          <c:order val="0"/>
          <c:tx>
            <c:strRef>
              <c:f>'Graph engine'!$Q$38</c:f>
              <c:strCache>
                <c:ptCount val="1"/>
                <c:pt idx="0">
                  <c:v>Profitability </c:v>
                </c:pt>
              </c:strCache>
            </c:strRef>
          </c:tx>
          <c:spPr>
            <a:ln w="34925" cap="rnd">
              <a:solidFill>
                <a:srgbClr val="92D050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delete val="1"/>
          </c:dLbls>
          <c:cat>
            <c:numRef>
              <c:f>'Graph engine'!$P$39:$P$51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'Graph engine'!$Q$39:$Q$51</c:f>
              <c:numCache>
                <c:formatCode>General</c:formatCode>
                <c:ptCount val="13"/>
                <c:pt idx="0">
                  <c:v>50</c:v>
                </c:pt>
                <c:pt idx="1">
                  <c:v>63.427083188646527</c:v>
                </c:pt>
                <c:pt idx="2">
                  <c:v>69.292599406702607</c:v>
                </c:pt>
                <c:pt idx="3">
                  <c:v>82.921531782806042</c:v>
                </c:pt>
                <c:pt idx="4">
                  <c:v>81.945889827770742</c:v>
                </c:pt>
                <c:pt idx="5">
                  <c:v>80.957985994258706</c:v>
                </c:pt>
                <c:pt idx="6">
                  <c:v>79.958513284062889</c:v>
                </c:pt>
                <c:pt idx="7">
                  <c:v>78.948127830974144</c:v>
                </c:pt>
                <c:pt idx="8">
                  <c:v>77.927450803678212</c:v>
                </c:pt>
                <c:pt idx="9">
                  <c:v>76.897070208012721</c:v>
                </c:pt>
                <c:pt idx="10">
                  <c:v>75.994290547430495</c:v>
                </c:pt>
                <c:pt idx="11">
                  <c:v>75.080514801317051</c:v>
                </c:pt>
                <c:pt idx="12">
                  <c:v>74.155985530382566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DF3-DA40-9E24-56679BBDB977}"/>
            </c:ext>
          </c:extLst>
        </c:ser>
        <c:ser>
          <c:idx val="5"/>
          <c:order val="1"/>
          <c:tx>
            <c:strRef>
              <c:f>'Graph engine'!$R$38</c:f>
              <c:strCache>
                <c:ptCount val="1"/>
                <c:pt idx="0">
                  <c:v>Target Profitability</c:v>
                </c:pt>
              </c:strCache>
            </c:strRef>
          </c:tx>
          <c:spPr>
            <a:ln w="34925" cap="rnd">
              <a:solidFill>
                <a:schemeClr val="accent6"/>
              </a:solidFill>
              <a:prstDash val="dash"/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delete val="1"/>
          </c:dLbls>
          <c:cat>
            <c:numRef>
              <c:f>'Graph engine'!$P$39:$P$51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'Graph engine'!$R$39:$R$51</c:f>
              <c:numCache>
                <c:formatCode>General</c:formatCode>
                <c:ptCount val="13"/>
                <c:pt idx="0">
                  <c:v>50</c:v>
                </c:pt>
                <c:pt idx="1">
                  <c:v>50</c:v>
                </c:pt>
                <c:pt idx="2">
                  <c:v>50</c:v>
                </c:pt>
                <c:pt idx="3">
                  <c:v>50</c:v>
                </c:pt>
                <c:pt idx="4">
                  <c:v>50</c:v>
                </c:pt>
                <c:pt idx="5">
                  <c:v>50</c:v>
                </c:pt>
                <c:pt idx="6">
                  <c:v>50</c:v>
                </c:pt>
                <c:pt idx="7">
                  <c:v>50</c:v>
                </c:pt>
                <c:pt idx="8">
                  <c:v>50</c:v>
                </c:pt>
                <c:pt idx="9">
                  <c:v>50</c:v>
                </c:pt>
                <c:pt idx="10">
                  <c:v>50</c:v>
                </c:pt>
                <c:pt idx="11">
                  <c:v>50</c:v>
                </c:pt>
                <c:pt idx="12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DF3-DA40-9E24-56679BBDB977}"/>
            </c:ext>
          </c:extLst>
        </c:ser>
        <c:ser>
          <c:idx val="0"/>
          <c:order val="2"/>
          <c:tx>
            <c:strRef>
              <c:f>'Graph engine'!$U$38</c:f>
              <c:strCache>
                <c:ptCount val="1"/>
                <c:pt idx="0">
                  <c:v>PIE Target</c:v>
                </c:pt>
              </c:strCache>
            </c:strRef>
          </c:tx>
          <c:spPr>
            <a:ln w="34925" cap="rnd">
              <a:solidFill>
                <a:schemeClr val="accent1"/>
              </a:solidFill>
              <a:prstDash val="dash"/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delete val="1"/>
          </c:dLbls>
          <c:cat>
            <c:numRef>
              <c:f>'Graph engine'!$P$39:$P$51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'Graph engine'!$U$39:$U$51</c:f>
              <c:numCache>
                <c:formatCode>General</c:formatCode>
                <c:ptCount val="13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  <c:pt idx="3">
                  <c:v>100</c:v>
                </c:pt>
                <c:pt idx="4">
                  <c:v>100</c:v>
                </c:pt>
                <c:pt idx="5">
                  <c:v>100</c:v>
                </c:pt>
                <c:pt idx="6">
                  <c:v>100</c:v>
                </c:pt>
                <c:pt idx="7">
                  <c:v>100</c:v>
                </c:pt>
                <c:pt idx="8">
                  <c:v>100</c:v>
                </c:pt>
                <c:pt idx="9">
                  <c:v>100</c:v>
                </c:pt>
                <c:pt idx="10">
                  <c:v>100</c:v>
                </c:pt>
                <c:pt idx="11">
                  <c:v>100</c:v>
                </c:pt>
                <c:pt idx="12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DF3-DA40-9E24-56679BBDB977}"/>
            </c:ext>
          </c:extLst>
        </c:ser>
        <c:ser>
          <c:idx val="6"/>
          <c:order val="3"/>
          <c:tx>
            <c:strRef>
              <c:f>'Graph engine'!$S$38</c:f>
              <c:strCache>
                <c:ptCount val="1"/>
                <c:pt idx="0">
                  <c:v>Wages after tax &amp; VAT</c:v>
                </c:pt>
              </c:strCache>
            </c:strRef>
          </c:tx>
          <c:spPr>
            <a:ln w="34925" cap="rnd">
              <a:solidFill>
                <a:schemeClr val="bg2">
                  <a:lumMod val="75000"/>
                </a:schemeClr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delete val="1"/>
          </c:dLbls>
          <c:cat>
            <c:numRef>
              <c:f>'Graph engine'!$P$39:$P$51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'Graph engine'!$S$39:$S$51</c:f>
              <c:numCache>
                <c:formatCode>General</c:formatCode>
                <c:ptCount val="13"/>
                <c:pt idx="0">
                  <c:v>28</c:v>
                </c:pt>
                <c:pt idx="1">
                  <c:v>28.6</c:v>
                </c:pt>
                <c:pt idx="2">
                  <c:v>28.373015873015873</c:v>
                </c:pt>
                <c:pt idx="3">
                  <c:v>28.149606299212596</c:v>
                </c:pt>
                <c:pt idx="4">
                  <c:v>27.9296875</c:v>
                </c:pt>
                <c:pt idx="5">
                  <c:v>27.713178294573641</c:v>
                </c:pt>
                <c:pt idx="6">
                  <c:v>27.5</c:v>
                </c:pt>
                <c:pt idx="7">
                  <c:v>27.29007633587786</c:v>
                </c:pt>
                <c:pt idx="8">
                  <c:v>27.083333333333332</c:v>
                </c:pt>
                <c:pt idx="9">
                  <c:v>26.8796992481203</c:v>
                </c:pt>
                <c:pt idx="10">
                  <c:v>26.67910447761194</c:v>
                </c:pt>
                <c:pt idx="11">
                  <c:v>26.481481481481481</c:v>
                </c:pt>
                <c:pt idx="12">
                  <c:v>26.286764705882351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DF3-DA40-9E24-56679BBDB977}"/>
            </c:ext>
          </c:extLst>
        </c:ser>
        <c:ser>
          <c:idx val="1"/>
          <c:order val="4"/>
          <c:tx>
            <c:strRef>
              <c:f>'Graph engine'!$V$38</c:f>
              <c:strCache>
                <c:ptCount val="1"/>
                <c:pt idx="0">
                  <c:v>UBI after VAT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delete val="1"/>
          </c:dLbls>
          <c:cat>
            <c:numRef>
              <c:f>'Graph engine'!$P$39:$P$51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'Graph engine'!$V$39:$V$51</c:f>
              <c:numCache>
                <c:formatCode>#,##0.00</c:formatCode>
                <c:ptCount val="13"/>
                <c:pt idx="0">
                  <c:v>1.3333333333333335</c:v>
                </c:pt>
                <c:pt idx="1">
                  <c:v>2.666666666666667</c:v>
                </c:pt>
                <c:pt idx="2">
                  <c:v>5.2910052910052912</c:v>
                </c:pt>
                <c:pt idx="3">
                  <c:v>10.498687664041995</c:v>
                </c:pt>
                <c:pt idx="4">
                  <c:v>10.416666666666666</c:v>
                </c:pt>
                <c:pt idx="5">
                  <c:v>10.335917312661499</c:v>
                </c:pt>
                <c:pt idx="6">
                  <c:v>10.256410256410257</c:v>
                </c:pt>
                <c:pt idx="7">
                  <c:v>10.178117048346056</c:v>
                </c:pt>
                <c:pt idx="8">
                  <c:v>10.1010101010101</c:v>
                </c:pt>
                <c:pt idx="9">
                  <c:v>10.025062656641603</c:v>
                </c:pt>
                <c:pt idx="10">
                  <c:v>9.9502487562189046</c:v>
                </c:pt>
                <c:pt idx="11">
                  <c:v>9.8765432098765427</c:v>
                </c:pt>
                <c:pt idx="12">
                  <c:v>9.8039215686274517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2DF3-DA40-9E24-56679BBDB977}"/>
            </c:ext>
          </c:extLst>
        </c:ser>
        <c:ser>
          <c:idx val="2"/>
          <c:order val="5"/>
          <c:tx>
            <c:strRef>
              <c:f>'Graph engine'!$W$38</c:f>
              <c:strCache>
                <c:ptCount val="1"/>
                <c:pt idx="0">
                  <c:v>Minimum wage after tax+vat</c:v>
                </c:pt>
              </c:strCache>
            </c:strRef>
          </c:tx>
          <c:spPr>
            <a:ln w="34925" cap="rnd">
              <a:solidFill>
                <a:schemeClr val="accent3"/>
              </a:solidFill>
              <a:prstDash val="dash"/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delete val="1"/>
          </c:dLbls>
          <c:cat>
            <c:numRef>
              <c:f>'Graph engine'!$P$39:$P$51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'Graph engine'!$W$39:$W$51</c:f>
              <c:numCache>
                <c:formatCode>General</c:formatCode>
                <c:ptCount val="13"/>
                <c:pt idx="0">
                  <c:v>8.1666666666666661</c:v>
                </c:pt>
                <c:pt idx="1">
                  <c:v>7.583333333333333</c:v>
                </c:pt>
                <c:pt idx="2">
                  <c:v>7.583333333333333</c:v>
                </c:pt>
                <c:pt idx="3">
                  <c:v>7.583333333333333</c:v>
                </c:pt>
                <c:pt idx="4">
                  <c:v>7.583333333333333</c:v>
                </c:pt>
                <c:pt idx="5">
                  <c:v>7.583333333333333</c:v>
                </c:pt>
                <c:pt idx="6">
                  <c:v>7.583333333333333</c:v>
                </c:pt>
                <c:pt idx="7">
                  <c:v>7.583333333333333</c:v>
                </c:pt>
                <c:pt idx="8">
                  <c:v>7.583333333333333</c:v>
                </c:pt>
                <c:pt idx="9">
                  <c:v>7.583333333333333</c:v>
                </c:pt>
                <c:pt idx="10">
                  <c:v>7.583333333333333</c:v>
                </c:pt>
                <c:pt idx="11">
                  <c:v>7.583333333333333</c:v>
                </c:pt>
                <c:pt idx="12">
                  <c:v>7.583333333333333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2DF3-DA40-9E24-56679BBDB977}"/>
            </c:ext>
          </c:extLst>
        </c:ser>
        <c:ser>
          <c:idx val="3"/>
          <c:order val="6"/>
          <c:tx>
            <c:strRef>
              <c:f>'Graph engine'!$X$38</c:f>
              <c:strCache>
                <c:ptCount val="1"/>
                <c:pt idx="0">
                  <c:v>Politician Popularity</c:v>
                </c:pt>
              </c:strCache>
            </c:strRef>
          </c:tx>
          <c:spPr>
            <a:ln w="34925" cap="rnd">
              <a:solidFill>
                <a:schemeClr val="accent4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delete val="1"/>
          </c:dLbls>
          <c:cat>
            <c:numRef>
              <c:f>'Graph engine'!$P$39:$P$51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cat>
          <c:val>
            <c:numRef>
              <c:f>'Graph engine'!$X$39:$X$51</c:f>
              <c:numCache>
                <c:formatCode>0</c:formatCode>
                <c:ptCount val="13"/>
                <c:pt idx="0">
                  <c:v>50</c:v>
                </c:pt>
                <c:pt idx="1">
                  <c:v>80</c:v>
                </c:pt>
                <c:pt idx="2">
                  <c:v>80</c:v>
                </c:pt>
                <c:pt idx="3">
                  <c:v>80</c:v>
                </c:pt>
                <c:pt idx="4">
                  <c:v>80</c:v>
                </c:pt>
                <c:pt idx="5">
                  <c:v>80</c:v>
                </c:pt>
                <c:pt idx="6">
                  <c:v>80</c:v>
                </c:pt>
                <c:pt idx="7">
                  <c:v>80</c:v>
                </c:pt>
                <c:pt idx="8">
                  <c:v>80</c:v>
                </c:pt>
                <c:pt idx="9">
                  <c:v>80</c:v>
                </c:pt>
                <c:pt idx="10">
                  <c:v>80</c:v>
                </c:pt>
                <c:pt idx="11">
                  <c:v>80</c:v>
                </c:pt>
                <c:pt idx="12">
                  <c:v>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2DF3-DA40-9E24-56679BBDB977}"/>
            </c:ext>
          </c:extLst>
        </c:ser>
        <c:ser>
          <c:idx val="7"/>
          <c:order val="7"/>
          <c:tx>
            <c:strRef>
              <c:f>'Graph engine'!$T$38</c:f>
              <c:strCache>
                <c:ptCount val="1"/>
                <c:pt idx="0">
                  <c:v>Spending PIE</c:v>
                </c:pt>
              </c:strCache>
            </c:strRef>
          </c:tx>
          <c:spPr>
            <a:ln w="34925" cap="rnd">
              <a:solidFill>
                <a:schemeClr val="accent1">
                  <a:lumMod val="75000"/>
                </a:schemeClr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delete val="1"/>
          </c:dLbls>
          <c:val>
            <c:numRef>
              <c:f>'Graph engine'!$T$39:$T$51</c:f>
              <c:numCache>
                <c:formatCode>General</c:formatCode>
                <c:ptCount val="13"/>
                <c:pt idx="0">
                  <c:v>100</c:v>
                </c:pt>
                <c:pt idx="1">
                  <c:v>121.34014739124254</c:v>
                </c:pt>
                <c:pt idx="2">
                  <c:v>120.68905279300807</c:v>
                </c:pt>
                <c:pt idx="3">
                  <c:v>121.36412642517622</c:v>
                </c:pt>
                <c:pt idx="4">
                  <c:v>119.85897022875611</c:v>
                </c:pt>
                <c:pt idx="5">
                  <c:v>118.3734211467395</c:v>
                </c:pt>
                <c:pt idx="6">
                  <c:v>116.90756563827267</c:v>
                </c:pt>
                <c:pt idx="7">
                  <c:v>115.46146759853225</c:v>
                </c:pt>
                <c:pt idx="8">
                  <c:v>114.03516979203729</c:v>
                </c:pt>
                <c:pt idx="9">
                  <c:v>112.62869520617937</c:v>
                </c:pt>
                <c:pt idx="10">
                  <c:v>113.22357253960493</c:v>
                </c:pt>
                <c:pt idx="11">
                  <c:v>113.80963687549828</c:v>
                </c:pt>
                <c:pt idx="12">
                  <c:v>114.38708261821675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2DF3-DA40-9E24-56679BBDB977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303191839"/>
        <c:axId val="303186927"/>
      </c:lineChart>
      <c:catAx>
        <c:axId val="3031918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303186927"/>
        <c:crosses val="autoZero"/>
        <c:auto val="1"/>
        <c:lblAlgn val="ctr"/>
        <c:lblOffset val="100"/>
        <c:noMultiLvlLbl val="0"/>
      </c:catAx>
      <c:valAx>
        <c:axId val="3031869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dash"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3031918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v-S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v-SE"/>
    </a:p>
  </c:txPr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r>
              <a:rPr lang="sv-SE"/>
              <a:t>STATE INCOME SOURCES</a:t>
            </a:r>
          </a:p>
        </c:rich>
      </c:tx>
      <c:overlay val="0"/>
    </c:title>
    <c:autoTitleDeleted val="0"/>
    <c:plotArea>
      <c:layout/>
      <c:lineChart>
        <c:grouping val="standard"/>
        <c:varyColors val="1"/>
        <c:ser>
          <c:idx val="0"/>
          <c:order val="0"/>
          <c:tx>
            <c:strRef>
              <c:f>'Charts Overview'!$C$100</c:f>
              <c:strCache>
                <c:ptCount val="1"/>
                <c:pt idx="0">
                  <c:v>VAT Rate in %</c:v>
                </c:pt>
              </c:strCache>
            </c:strRef>
          </c:tx>
          <c:spPr>
            <a:ln w="19050" cmpd="sng">
              <a:solidFill>
                <a:srgbClr val="4285F4"/>
              </a:solidFill>
              <a:prstDash val="sysDot"/>
            </a:ln>
          </c:spPr>
          <c:marker>
            <c:symbol val="none"/>
          </c:marker>
          <c:cat>
            <c:numRef>
              <c:f>'Charts Overview'!$B$101:$B$110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</c:numCache>
            </c:numRef>
          </c:cat>
          <c:val>
            <c:numRef>
              <c:f>'Charts Overview'!$C$101:$C$110</c:f>
              <c:numCache>
                <c:formatCode>0</c:formatCode>
                <c:ptCount val="10"/>
                <c:pt idx="0">
                  <c:v>25</c:v>
                </c:pt>
                <c:pt idx="1">
                  <c:v>25</c:v>
                </c:pt>
                <c:pt idx="2">
                  <c:v>26</c:v>
                </c:pt>
                <c:pt idx="3">
                  <c:v>27</c:v>
                </c:pt>
                <c:pt idx="4">
                  <c:v>28</c:v>
                </c:pt>
                <c:pt idx="5">
                  <c:v>29</c:v>
                </c:pt>
                <c:pt idx="6">
                  <c:v>30</c:v>
                </c:pt>
                <c:pt idx="7">
                  <c:v>31</c:v>
                </c:pt>
                <c:pt idx="8">
                  <c:v>32</c:v>
                </c:pt>
                <c:pt idx="9">
                  <c:v>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9E8-3049-BAB6-32DFE976178F}"/>
            </c:ext>
          </c:extLst>
        </c:ser>
        <c:ser>
          <c:idx val="1"/>
          <c:order val="1"/>
          <c:tx>
            <c:strRef>
              <c:f>'Charts Overview'!$D$100</c:f>
              <c:strCache>
                <c:ptCount val="1"/>
                <c:pt idx="0">
                  <c:v>Tax on work%</c:v>
                </c:pt>
              </c:strCache>
            </c:strRef>
          </c:tx>
          <c:spPr>
            <a:ln w="19050" cmpd="sng">
              <a:solidFill>
                <a:srgbClr val="FF9900"/>
              </a:solidFill>
              <a:prstDash val="sysDot"/>
            </a:ln>
          </c:spPr>
          <c:marker>
            <c:symbol val="none"/>
          </c:marker>
          <c:cat>
            <c:numRef>
              <c:f>'Charts Overview'!$B$101:$B$110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</c:numCache>
            </c:numRef>
          </c:cat>
          <c:val>
            <c:numRef>
              <c:f>'Charts Overview'!$D$101:$D$110</c:f>
              <c:numCache>
                <c:formatCode>0</c:formatCode>
                <c:ptCount val="10"/>
                <c:pt idx="0">
                  <c:v>60</c:v>
                </c:pt>
                <c:pt idx="1">
                  <c:v>70</c:v>
                </c:pt>
                <c:pt idx="2">
                  <c:v>70</c:v>
                </c:pt>
                <c:pt idx="3">
                  <c:v>70</c:v>
                </c:pt>
                <c:pt idx="4">
                  <c:v>70</c:v>
                </c:pt>
                <c:pt idx="5">
                  <c:v>70</c:v>
                </c:pt>
                <c:pt idx="6">
                  <c:v>70</c:v>
                </c:pt>
                <c:pt idx="7">
                  <c:v>70</c:v>
                </c:pt>
                <c:pt idx="8">
                  <c:v>70</c:v>
                </c:pt>
                <c:pt idx="9">
                  <c:v>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9E8-3049-BAB6-32DFE976178F}"/>
            </c:ext>
          </c:extLst>
        </c:ser>
        <c:ser>
          <c:idx val="2"/>
          <c:order val="2"/>
          <c:tx>
            <c:strRef>
              <c:f>'Charts Overview'!$E$100</c:f>
              <c:strCache>
                <c:ptCount val="1"/>
                <c:pt idx="0">
                  <c:v>State Expenses UBI as percentage of total</c:v>
                </c:pt>
              </c:strCache>
            </c:strRef>
          </c:tx>
          <c:marker>
            <c:symbol val="none"/>
          </c:marker>
          <c:cat>
            <c:numRef>
              <c:f>'Charts Overview'!$B$101:$B$110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</c:numCache>
            </c:numRef>
          </c:cat>
          <c:val>
            <c:numRef>
              <c:f>'Charts Overview'!$E$101:$E$110</c:f>
              <c:numCache>
                <c:formatCode>#,##0.00</c:formatCode>
                <c:ptCount val="10"/>
                <c:pt idx="0">
                  <c:v>1.9900497721541548</c:v>
                </c:pt>
                <c:pt idx="1">
                  <c:v>3.3983200478719868</c:v>
                </c:pt>
                <c:pt idx="2">
                  <c:v>7.0662333105238133</c:v>
                </c:pt>
                <c:pt idx="3">
                  <c:v>14.507853204899567</c:v>
                </c:pt>
                <c:pt idx="4">
                  <c:v>15.140542831631539</c:v>
                </c:pt>
                <c:pt idx="5">
                  <c:v>15.777586366581478</c:v>
                </c:pt>
                <c:pt idx="6">
                  <c:v>16.419001869163431</c:v>
                </c:pt>
                <c:pt idx="7">
                  <c:v>17.064801526749847</c:v>
                </c:pt>
                <c:pt idx="8">
                  <c:v>17.714991719360729</c:v>
                </c:pt>
                <c:pt idx="9">
                  <c:v>18.369573079218579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9E8-3049-BAB6-32DFE976178F}"/>
            </c:ext>
          </c:extLst>
        </c:ser>
        <c:ser>
          <c:idx val="3"/>
          <c:order val="3"/>
          <c:tx>
            <c:strRef>
              <c:f>'Charts Overview'!$F$100</c:f>
              <c:strCache>
                <c:ptCount val="1"/>
                <c:pt idx="0">
                  <c:v>State Income 0=100</c:v>
                </c:pt>
              </c:strCache>
            </c:strRef>
          </c:tx>
          <c:marker>
            <c:symbol val="none"/>
          </c:marker>
          <c:cat>
            <c:numRef>
              <c:f>'Charts Overview'!$B$101:$B$110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</c:numCache>
            </c:numRef>
          </c:cat>
          <c:val>
            <c:numRef>
              <c:f>'Charts Overview'!$F$101:$F$110</c:f>
              <c:numCache>
                <c:formatCode>#,##0</c:formatCode>
                <c:ptCount val="10"/>
                <c:pt idx="0" formatCode="General">
                  <c:v>100</c:v>
                </c:pt>
                <c:pt idx="1">
                  <c:v>121.34014739124258</c:v>
                </c:pt>
                <c:pt idx="2">
                  <c:v>120.6890527930081</c:v>
                </c:pt>
                <c:pt idx="3">
                  <c:v>121.36412642517625</c:v>
                </c:pt>
                <c:pt idx="4">
                  <c:v>119.85897022875612</c:v>
                </c:pt>
                <c:pt idx="5">
                  <c:v>118.37342114673953</c:v>
                </c:pt>
                <c:pt idx="6">
                  <c:v>116.90756563827267</c:v>
                </c:pt>
                <c:pt idx="7">
                  <c:v>115.46146759853228</c:v>
                </c:pt>
                <c:pt idx="8">
                  <c:v>114.03516979203731</c:v>
                </c:pt>
                <c:pt idx="9" formatCode="General">
                  <c:v>112.62869520617937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C9E8-3049-BAB6-32DFE97617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25525866"/>
        <c:axId val="193203354"/>
      </c:lineChart>
      <c:catAx>
        <c:axId val="142552586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sv-SE"/>
              </a:p>
            </c:rich>
          </c:tx>
          <c:overlay val="0"/>
        </c:title>
        <c:numFmt formatCode="General" sourceLinked="1"/>
        <c:majorTickMark val="cross"/>
        <c:minorTickMark val="cross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endParaRPr lang="sv-SE"/>
          </a:p>
        </c:txPr>
        <c:crossAx val="193203354"/>
        <c:crosses val="autoZero"/>
        <c:auto val="1"/>
        <c:lblAlgn val="ctr"/>
        <c:lblOffset val="100"/>
        <c:noMultiLvlLbl val="1"/>
      </c:catAx>
      <c:valAx>
        <c:axId val="193203354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sv-SE"/>
              </a:p>
            </c:rich>
          </c:tx>
          <c:overlay val="0"/>
        </c:title>
        <c:numFmt formatCode="0" sourceLinked="1"/>
        <c:majorTickMark val="cross"/>
        <c:minorTickMark val="cross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endParaRPr lang="sv-SE"/>
          </a:p>
        </c:txPr>
        <c:crossAx val="1425525866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000000"/>
              </a:solidFill>
              <a:latin typeface="Roboto"/>
            </a:defRPr>
          </a:pPr>
          <a:endParaRPr lang="sv-SE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r>
              <a:rPr lang="sv-SE"/>
              <a:t>WAGES,UBI &amp; WORKFORCE</a:t>
            </a:r>
          </a:p>
        </c:rich>
      </c:tx>
      <c:overlay val="0"/>
    </c:title>
    <c:autoTitleDeleted val="0"/>
    <c:plotArea>
      <c:layout/>
      <c:lineChart>
        <c:grouping val="standard"/>
        <c:varyColors val="1"/>
        <c:ser>
          <c:idx val="0"/>
          <c:order val="0"/>
          <c:tx>
            <c:strRef>
              <c:f>'Charts Overview'!$H$100</c:f>
              <c:strCache>
                <c:ptCount val="1"/>
                <c:pt idx="0">
                  <c:v> Average Wage start=50/100</c:v>
                </c:pt>
              </c:strCache>
            </c:strRef>
          </c:tx>
          <c:marker>
            <c:symbol val="none"/>
          </c:marker>
          <c:cat>
            <c:numRef>
              <c:f>'Charts Overview'!$B$101:$B$110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</c:numCache>
            </c:numRef>
          </c:cat>
          <c:val>
            <c:numRef>
              <c:f>'Charts Overview'!$H$101:$H$110</c:f>
              <c:numCache>
                <c:formatCode>#,##0.00</c:formatCode>
                <c:ptCount val="10"/>
                <c:pt idx="0">
                  <c:v>50</c:v>
                </c:pt>
                <c:pt idx="1">
                  <c:v>55</c:v>
                </c:pt>
                <c:pt idx="2" formatCode="General">
                  <c:v>55</c:v>
                </c:pt>
                <c:pt idx="3" formatCode="General">
                  <c:v>55</c:v>
                </c:pt>
                <c:pt idx="4" formatCode="General">
                  <c:v>55</c:v>
                </c:pt>
                <c:pt idx="5" formatCode="General">
                  <c:v>55</c:v>
                </c:pt>
                <c:pt idx="6" formatCode="General">
                  <c:v>55</c:v>
                </c:pt>
                <c:pt idx="7" formatCode="General">
                  <c:v>55</c:v>
                </c:pt>
                <c:pt idx="8" formatCode="General">
                  <c:v>55</c:v>
                </c:pt>
                <c:pt idx="9" formatCode="General">
                  <c:v>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6E8-B444-A3EB-5562A1C6F85B}"/>
            </c:ext>
          </c:extLst>
        </c:ser>
        <c:ser>
          <c:idx val="1"/>
          <c:order val="1"/>
          <c:tx>
            <c:strRef>
              <c:f>'Charts Overview'!$I$100</c:f>
              <c:strCache>
                <c:ptCount val="1"/>
                <c:pt idx="0">
                  <c:v>UBI compared to average wage</c:v>
                </c:pt>
              </c:strCache>
            </c:strRef>
          </c:tx>
          <c:marker>
            <c:symbol val="none"/>
          </c:marker>
          <c:cat>
            <c:numRef>
              <c:f>'Charts Overview'!$B$101:$B$110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</c:numCache>
            </c:numRef>
          </c:cat>
          <c:val>
            <c:numRef>
              <c:f>'Charts Overview'!$I$101:$I$110</c:f>
              <c:numCache>
                <c:formatCode>#,##0.00</c:formatCode>
                <c:ptCount val="10"/>
                <c:pt idx="0">
                  <c:v>1.6666666666666667</c:v>
                </c:pt>
                <c:pt idx="1">
                  <c:v>3.3333333333333335</c:v>
                </c:pt>
                <c:pt idx="2">
                  <c:v>6.666666666666667</c:v>
                </c:pt>
                <c:pt idx="3">
                  <c:v>13.333333333333334</c:v>
                </c:pt>
                <c:pt idx="4">
                  <c:v>13.333333333333334</c:v>
                </c:pt>
                <c:pt idx="5">
                  <c:v>13.333333333333334</c:v>
                </c:pt>
                <c:pt idx="6">
                  <c:v>13.333333333333334</c:v>
                </c:pt>
                <c:pt idx="7">
                  <c:v>13.333333333333334</c:v>
                </c:pt>
                <c:pt idx="8">
                  <c:v>13.333333333333334</c:v>
                </c:pt>
                <c:pt idx="9" formatCode="General">
                  <c:v>13.333333333333334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6E8-B444-A3EB-5562A1C6F85B}"/>
            </c:ext>
          </c:extLst>
        </c:ser>
        <c:ser>
          <c:idx val="2"/>
          <c:order val="2"/>
          <c:tx>
            <c:strRef>
              <c:f>'Charts Overview'!$J$100</c:f>
              <c:strCache>
                <c:ptCount val="1"/>
                <c:pt idx="0">
                  <c:v>Minimum (compared to average)</c:v>
                </c:pt>
              </c:strCache>
            </c:strRef>
          </c:tx>
          <c:marker>
            <c:symbol val="none"/>
          </c:marker>
          <c:cat>
            <c:numRef>
              <c:f>'Charts Overview'!$B$101:$B$110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</c:numCache>
            </c:numRef>
          </c:cat>
          <c:val>
            <c:numRef>
              <c:f>'Charts Overview'!$J$101:$J$110</c:f>
              <c:numCache>
                <c:formatCode>#,##0.00</c:formatCode>
                <c:ptCount val="10"/>
                <c:pt idx="0">
                  <c:v>11.666666666666666</c:v>
                </c:pt>
                <c:pt idx="1">
                  <c:v>12.833333333333334</c:v>
                </c:pt>
                <c:pt idx="2">
                  <c:v>12.833333333333334</c:v>
                </c:pt>
                <c:pt idx="3">
                  <c:v>12.833333333333334</c:v>
                </c:pt>
                <c:pt idx="4">
                  <c:v>12.833333333333334</c:v>
                </c:pt>
                <c:pt idx="5">
                  <c:v>12.833333333333334</c:v>
                </c:pt>
                <c:pt idx="6">
                  <c:v>12.833333333333334</c:v>
                </c:pt>
                <c:pt idx="7">
                  <c:v>12.833333333333334</c:v>
                </c:pt>
                <c:pt idx="8">
                  <c:v>12.833333333333334</c:v>
                </c:pt>
                <c:pt idx="9" formatCode="General">
                  <c:v>12.833333333333334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6E8-B444-A3EB-5562A1C6F85B}"/>
            </c:ext>
          </c:extLst>
        </c:ser>
        <c:ser>
          <c:idx val="3"/>
          <c:order val="3"/>
          <c:tx>
            <c:strRef>
              <c:f>'Charts Overview'!$L$100</c:f>
              <c:strCache>
                <c:ptCount val="1"/>
                <c:pt idx="0">
                  <c:v>Workforce % of total population</c:v>
                </c:pt>
              </c:strCache>
            </c:strRef>
          </c:tx>
          <c:marker>
            <c:symbol val="none"/>
          </c:marker>
          <c:cat>
            <c:numRef>
              <c:f>'Charts Overview'!$B$101:$B$110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</c:numCache>
            </c:numRef>
          </c:cat>
          <c:val>
            <c:numRef>
              <c:f>'Charts Overview'!$L$101:$L$110</c:f>
              <c:numCache>
                <c:formatCode>#,##0</c:formatCode>
                <c:ptCount val="10"/>
                <c:pt idx="0">
                  <c:v>56.818181818181813</c:v>
                </c:pt>
                <c:pt idx="1">
                  <c:v>55.681818181818187</c:v>
                </c:pt>
                <c:pt idx="2">
                  <c:v>54.568181818181813</c:v>
                </c:pt>
                <c:pt idx="3">
                  <c:v>53.476818181818182</c:v>
                </c:pt>
                <c:pt idx="4">
                  <c:v>52.407281818181822</c:v>
                </c:pt>
                <c:pt idx="5">
                  <c:v>51.35913618181818</c:v>
                </c:pt>
                <c:pt idx="6">
                  <c:v>50.331953458181815</c:v>
                </c:pt>
                <c:pt idx="7">
                  <c:v>49.325314389018175</c:v>
                </c:pt>
                <c:pt idx="8">
                  <c:v>48.338808101237809</c:v>
                </c:pt>
                <c:pt idx="9">
                  <c:v>47.372031939213052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6E8-B444-A3EB-5562A1C6F8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03900772"/>
        <c:axId val="184255641"/>
      </c:lineChart>
      <c:catAx>
        <c:axId val="8039007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sv-SE"/>
              </a:p>
            </c:rich>
          </c:tx>
          <c:overlay val="0"/>
        </c:title>
        <c:numFmt formatCode="General" sourceLinked="1"/>
        <c:majorTickMark val="cross"/>
        <c:minorTickMark val="cross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endParaRPr lang="sv-SE"/>
          </a:p>
        </c:txPr>
        <c:crossAx val="184255641"/>
        <c:crosses val="autoZero"/>
        <c:auto val="1"/>
        <c:lblAlgn val="ctr"/>
        <c:lblOffset val="100"/>
        <c:noMultiLvlLbl val="1"/>
      </c:catAx>
      <c:valAx>
        <c:axId val="184255641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sv-SE"/>
              </a:p>
            </c:rich>
          </c:tx>
          <c:overlay val="0"/>
        </c:title>
        <c:numFmt formatCode="#,##0.00" sourceLinked="1"/>
        <c:majorTickMark val="cross"/>
        <c:minorTickMark val="cross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endParaRPr lang="sv-SE"/>
          </a:p>
        </c:txPr>
        <c:crossAx val="803900772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000000"/>
              </a:solidFill>
              <a:latin typeface="Roboto"/>
            </a:defRPr>
          </a:pPr>
          <a:endParaRPr lang="sv-SE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r>
              <a:rPr lang="sv-SE"/>
              <a:t>State income  sources</a:t>
            </a:r>
          </a:p>
        </c:rich>
      </c:tx>
      <c:overlay val="0"/>
    </c:title>
    <c:autoTitleDeleted val="0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Engine!$C$21</c:f>
              <c:strCache>
                <c:ptCount val="1"/>
                <c:pt idx="0">
                  <c:v>VAT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cat>
            <c:numRef>
              <c:f>Engine!$B$22:$B$31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</c:numCache>
            </c:numRef>
          </c:cat>
          <c:val>
            <c:numRef>
              <c:f>Engine!$C$22:$C$31</c:f>
              <c:numCache>
                <c:formatCode>#,##0</c:formatCode>
                <c:ptCount val="10"/>
                <c:pt idx="0">
                  <c:v>2449431792.9818192</c:v>
                </c:pt>
                <c:pt idx="1">
                  <c:v>2519431818.181818</c:v>
                </c:pt>
                <c:pt idx="2">
                  <c:v>2694144480.5194798</c:v>
                </c:pt>
                <c:pt idx="3">
                  <c:v>3031826569.4345036</c:v>
                </c:pt>
                <c:pt idx="4">
                  <c:v>3088085267.47159</c:v>
                </c:pt>
                <c:pt idx="5">
                  <c:v>3141888243.445385</c:v>
                </c:pt>
                <c:pt idx="6">
                  <c:v>3193345282.6862946</c:v>
                </c:pt>
                <c:pt idx="7">
                  <c:v>3242561333.6537991</c:v>
                </c:pt>
                <c:pt idx="8">
                  <c:v>3289636729.1632252</c:v>
                </c:pt>
                <c:pt idx="9">
                  <c:v>3334667396.70825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96E3-954B-AC0A-07BB014C04F9}"/>
            </c:ext>
          </c:extLst>
        </c:ser>
        <c:ser>
          <c:idx val="1"/>
          <c:order val="1"/>
          <c:tx>
            <c:strRef>
              <c:f>Engine!$D$21</c:f>
              <c:strCache>
                <c:ptCount val="1"/>
                <c:pt idx="0">
                  <c:v>Tax on work </c:v>
                </c:pt>
              </c:strCache>
            </c:strRef>
          </c:tx>
          <c:spPr>
            <a:solidFill>
              <a:srgbClr val="DB4437"/>
            </a:solidFill>
          </c:spPr>
          <c:invertIfNegative val="1"/>
          <c:cat>
            <c:numRef>
              <c:f>Engine!$B$22:$B$31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</c:numCache>
            </c:numRef>
          </c:cat>
          <c:val>
            <c:numRef>
              <c:f>Engine!$D$22:$D$31</c:f>
              <c:numCache>
                <c:formatCode>#,##0</c:formatCode>
                <c:ptCount val="10"/>
                <c:pt idx="0">
                  <c:v>10227272619.272728</c:v>
                </c:pt>
                <c:pt idx="1">
                  <c:v>12862500000</c:v>
                </c:pt>
                <c:pt idx="2">
                  <c:v>12605250000</c:v>
                </c:pt>
                <c:pt idx="3">
                  <c:v>12353145000</c:v>
                </c:pt>
                <c:pt idx="4">
                  <c:v>12106082100</c:v>
                </c:pt>
                <c:pt idx="5">
                  <c:v>11863960458</c:v>
                </c:pt>
                <c:pt idx="6">
                  <c:v>11626681248.84</c:v>
                </c:pt>
                <c:pt idx="7">
                  <c:v>11394147623.863197</c:v>
                </c:pt>
                <c:pt idx="8">
                  <c:v>11166264671.385933</c:v>
                </c:pt>
                <c:pt idx="9">
                  <c:v>10942939377.958216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1-96E3-954B-AC0A-07BB014C04F9}"/>
            </c:ext>
          </c:extLst>
        </c:ser>
        <c:ser>
          <c:idx val="2"/>
          <c:order val="2"/>
          <c:tx>
            <c:strRef>
              <c:f>Engine!$E$21</c:f>
              <c:strCache>
                <c:ptCount val="1"/>
                <c:pt idx="0">
                  <c:v>Other</c:v>
                </c:pt>
              </c:strCache>
            </c:strRef>
          </c:tx>
          <c:spPr>
            <a:solidFill>
              <a:srgbClr val="F4B400"/>
            </a:solidFill>
          </c:spPr>
          <c:invertIfNegative val="1"/>
          <c:cat>
            <c:numRef>
              <c:f>Engine!$B$22:$B$31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</c:numCache>
            </c:numRef>
          </c:cat>
          <c:val>
            <c:numRef>
              <c:f>Engine!$E$22:$E$31</c:f>
              <c:numCache>
                <c:formatCode>General</c:formatCode>
                <c:ptCount val="10"/>
                <c:pt idx="0">
                  <c:v>3169176103.0636368</c:v>
                </c:pt>
                <c:pt idx="1">
                  <c:v>3845482954.5454545</c:v>
                </c:pt>
                <c:pt idx="2">
                  <c:v>3824848620.1298699</c:v>
                </c:pt>
                <c:pt idx="3">
                  <c:v>3846242892.3586259</c:v>
                </c:pt>
                <c:pt idx="4">
                  <c:v>3798541841.867898</c:v>
                </c:pt>
                <c:pt idx="5">
                  <c:v>3751462175.3613462</c:v>
                </c:pt>
                <c:pt idx="6">
                  <c:v>3705006632.8815737</c:v>
                </c:pt>
                <c:pt idx="7">
                  <c:v>3659177239.3792486</c:v>
                </c:pt>
                <c:pt idx="8">
                  <c:v>3613975350.1372895</c:v>
                </c:pt>
                <c:pt idx="9">
                  <c:v>3569401693.6666169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2-96E3-954B-AC0A-07BB014C04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761632204"/>
        <c:axId val="1516643240"/>
      </c:barChart>
      <c:catAx>
        <c:axId val="17616322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sv-SE"/>
              </a:p>
            </c:rich>
          </c:tx>
          <c:overlay val="0"/>
        </c:title>
        <c:numFmt formatCode="General" sourceLinked="1"/>
        <c:majorTickMark val="cross"/>
        <c:minorTickMark val="cross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endParaRPr lang="sv-SE"/>
          </a:p>
        </c:txPr>
        <c:crossAx val="1516643240"/>
        <c:crosses val="autoZero"/>
        <c:auto val="1"/>
        <c:lblAlgn val="ctr"/>
        <c:lblOffset val="100"/>
        <c:noMultiLvlLbl val="1"/>
      </c:catAx>
      <c:valAx>
        <c:axId val="151664324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sv-SE"/>
              </a:p>
            </c:rich>
          </c:tx>
          <c:overlay val="0"/>
        </c:title>
        <c:numFmt formatCode="#,##0" sourceLinked="1"/>
        <c:majorTickMark val="cross"/>
        <c:minorTickMark val="cross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endParaRPr lang="sv-SE"/>
          </a:p>
        </c:txPr>
        <c:crossAx val="1761632204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000000"/>
              </a:solidFill>
              <a:latin typeface="Roboto"/>
            </a:defRPr>
          </a:pPr>
          <a:endParaRPr lang="sv-SE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r>
              <a:rPr lang="sv-SE"/>
              <a:t>Spending power</a:t>
            </a:r>
          </a:p>
        </c:rich>
      </c:tx>
      <c:overlay val="0"/>
    </c:title>
    <c:autoTitleDeleted val="0"/>
    <c:plotArea>
      <c:layout/>
      <c:lineChart>
        <c:grouping val="standard"/>
        <c:varyColors val="1"/>
        <c:ser>
          <c:idx val="0"/>
          <c:order val="0"/>
          <c:tx>
            <c:strRef>
              <c:f>'Graph engine'!$B$1</c:f>
              <c:strCache>
                <c:ptCount val="1"/>
                <c:pt idx="0">
                  <c:v> Average Wage start=50/100</c:v>
                </c:pt>
              </c:strCache>
            </c:strRef>
          </c:tx>
          <c:marker>
            <c:symbol val="none"/>
          </c:marker>
          <c:cat>
            <c:numRef>
              <c:f>'Graph engine'!$A$2:$A$11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</c:numCache>
            </c:numRef>
          </c:cat>
          <c:val>
            <c:numRef>
              <c:f>'Graph engine'!$B$2:$B$11</c:f>
              <c:numCache>
                <c:formatCode>#,##0.00</c:formatCode>
                <c:ptCount val="10"/>
                <c:pt idx="0">
                  <c:v>50</c:v>
                </c:pt>
                <c:pt idx="1">
                  <c:v>55</c:v>
                </c:pt>
                <c:pt idx="2" formatCode="General">
                  <c:v>55</c:v>
                </c:pt>
                <c:pt idx="3" formatCode="General">
                  <c:v>55</c:v>
                </c:pt>
                <c:pt idx="4" formatCode="General">
                  <c:v>55</c:v>
                </c:pt>
                <c:pt idx="5" formatCode="General">
                  <c:v>55</c:v>
                </c:pt>
                <c:pt idx="6" formatCode="General">
                  <c:v>55</c:v>
                </c:pt>
                <c:pt idx="7" formatCode="General">
                  <c:v>55</c:v>
                </c:pt>
                <c:pt idx="8" formatCode="General">
                  <c:v>55</c:v>
                </c:pt>
                <c:pt idx="9" formatCode="General">
                  <c:v>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E84-5C40-AF10-07BB2371C406}"/>
            </c:ext>
          </c:extLst>
        </c:ser>
        <c:ser>
          <c:idx val="1"/>
          <c:order val="1"/>
          <c:tx>
            <c:strRef>
              <c:f>'Graph engine'!$E$1</c:f>
              <c:strCache>
                <c:ptCount val="1"/>
                <c:pt idx="0">
                  <c:v>Wages after tax &amp; VAT</c:v>
                </c:pt>
              </c:strCache>
            </c:strRef>
          </c:tx>
          <c:marker>
            <c:symbol val="none"/>
          </c:marker>
          <c:cat>
            <c:numRef>
              <c:f>'Graph engine'!$A$2:$A$11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</c:numCache>
            </c:numRef>
          </c:cat>
          <c:val>
            <c:numRef>
              <c:f>'Graph engine'!$E$2:$E$11</c:f>
              <c:numCache>
                <c:formatCode>General</c:formatCode>
                <c:ptCount val="10"/>
                <c:pt idx="0">
                  <c:v>28</c:v>
                </c:pt>
                <c:pt idx="1">
                  <c:v>28.6</c:v>
                </c:pt>
                <c:pt idx="2">
                  <c:v>28.373015873015873</c:v>
                </c:pt>
                <c:pt idx="3">
                  <c:v>28.149606299212596</c:v>
                </c:pt>
                <c:pt idx="4">
                  <c:v>27.9296875</c:v>
                </c:pt>
                <c:pt idx="5">
                  <c:v>27.713178294573641</c:v>
                </c:pt>
                <c:pt idx="6">
                  <c:v>27.5</c:v>
                </c:pt>
                <c:pt idx="7">
                  <c:v>27.29007633587786</c:v>
                </c:pt>
                <c:pt idx="8">
                  <c:v>27.083333333333332</c:v>
                </c:pt>
                <c:pt idx="9">
                  <c:v>26.8796992481203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E84-5C40-AF10-07BB2371C406}"/>
            </c:ext>
          </c:extLst>
        </c:ser>
        <c:ser>
          <c:idx val="2"/>
          <c:order val="2"/>
          <c:tx>
            <c:strRef>
              <c:f>'Graph engine'!$F$1</c:f>
              <c:strCache>
                <c:ptCount val="1"/>
                <c:pt idx="0">
                  <c:v>UBI after VAT</c:v>
                </c:pt>
              </c:strCache>
            </c:strRef>
          </c:tx>
          <c:marker>
            <c:symbol val="none"/>
          </c:marker>
          <c:cat>
            <c:numRef>
              <c:f>'Graph engine'!$A$2:$A$11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</c:numCache>
            </c:numRef>
          </c:cat>
          <c:val>
            <c:numRef>
              <c:f>'Graph engine'!$F$2:$F$11</c:f>
              <c:numCache>
                <c:formatCode>General</c:formatCode>
                <c:ptCount val="10"/>
                <c:pt idx="0">
                  <c:v>1.3333333333333335</c:v>
                </c:pt>
                <c:pt idx="1">
                  <c:v>2.666666666666667</c:v>
                </c:pt>
                <c:pt idx="2">
                  <c:v>5.2910052910052912</c:v>
                </c:pt>
                <c:pt idx="3">
                  <c:v>10.498687664041995</c:v>
                </c:pt>
                <c:pt idx="4">
                  <c:v>10.416666666666666</c:v>
                </c:pt>
                <c:pt idx="5">
                  <c:v>10.335917312661499</c:v>
                </c:pt>
                <c:pt idx="6">
                  <c:v>10.256410256410257</c:v>
                </c:pt>
                <c:pt idx="7">
                  <c:v>10.178117048346056</c:v>
                </c:pt>
                <c:pt idx="8">
                  <c:v>10.1010101010101</c:v>
                </c:pt>
                <c:pt idx="9">
                  <c:v>10.025062656641603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E84-5C40-AF10-07BB2371C406}"/>
            </c:ext>
          </c:extLst>
        </c:ser>
        <c:ser>
          <c:idx val="3"/>
          <c:order val="3"/>
          <c:tx>
            <c:strRef>
              <c:f>'Graph engine'!$H$1</c:f>
              <c:strCache>
                <c:ptCount val="1"/>
                <c:pt idx="0">
                  <c:v>VAT Rate in %</c:v>
                </c:pt>
              </c:strCache>
            </c:strRef>
          </c:tx>
          <c:spPr>
            <a:ln w="19050" cmpd="sng">
              <a:solidFill>
                <a:srgbClr val="0F9D58"/>
              </a:solidFill>
              <a:prstDash val="dash"/>
            </a:ln>
          </c:spPr>
          <c:marker>
            <c:symbol val="none"/>
          </c:marker>
          <c:cat>
            <c:numRef>
              <c:f>'Graph engine'!$A$2:$A$11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</c:numCache>
            </c:numRef>
          </c:cat>
          <c:val>
            <c:numRef>
              <c:f>'Graph engine'!$H$2:$H$11</c:f>
              <c:numCache>
                <c:formatCode>0</c:formatCode>
                <c:ptCount val="10"/>
                <c:pt idx="0">
                  <c:v>25</c:v>
                </c:pt>
                <c:pt idx="1">
                  <c:v>25</c:v>
                </c:pt>
                <c:pt idx="2">
                  <c:v>26</c:v>
                </c:pt>
                <c:pt idx="3">
                  <c:v>27</c:v>
                </c:pt>
                <c:pt idx="4">
                  <c:v>28</c:v>
                </c:pt>
                <c:pt idx="5">
                  <c:v>29</c:v>
                </c:pt>
                <c:pt idx="6">
                  <c:v>30</c:v>
                </c:pt>
                <c:pt idx="7">
                  <c:v>31</c:v>
                </c:pt>
                <c:pt idx="8">
                  <c:v>32</c:v>
                </c:pt>
                <c:pt idx="9">
                  <c:v>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E84-5C40-AF10-07BB2371C406}"/>
            </c:ext>
          </c:extLst>
        </c:ser>
        <c:ser>
          <c:idx val="4"/>
          <c:order val="4"/>
          <c:tx>
            <c:strRef>
              <c:f>'Graph engine'!$I$1</c:f>
              <c:strCache>
                <c:ptCount val="1"/>
                <c:pt idx="0">
                  <c:v>Tax on work%</c:v>
                </c:pt>
              </c:strCache>
            </c:strRef>
          </c:tx>
          <c:spPr>
            <a:ln w="19050" cmpd="sng">
              <a:solidFill>
                <a:srgbClr val="FF6D00"/>
              </a:solidFill>
              <a:prstDash val="sysDot"/>
            </a:ln>
          </c:spPr>
          <c:marker>
            <c:symbol val="none"/>
          </c:marker>
          <c:cat>
            <c:numRef>
              <c:f>'Graph engine'!$A$2:$A$11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</c:numCache>
            </c:numRef>
          </c:cat>
          <c:val>
            <c:numRef>
              <c:f>'Graph engine'!$I$2:$I$11</c:f>
              <c:numCache>
                <c:formatCode>0</c:formatCode>
                <c:ptCount val="10"/>
                <c:pt idx="0">
                  <c:v>60</c:v>
                </c:pt>
                <c:pt idx="1">
                  <c:v>70</c:v>
                </c:pt>
                <c:pt idx="2">
                  <c:v>70</c:v>
                </c:pt>
                <c:pt idx="3">
                  <c:v>70</c:v>
                </c:pt>
                <c:pt idx="4">
                  <c:v>70</c:v>
                </c:pt>
                <c:pt idx="5">
                  <c:v>70</c:v>
                </c:pt>
                <c:pt idx="6">
                  <c:v>70</c:v>
                </c:pt>
                <c:pt idx="7">
                  <c:v>70</c:v>
                </c:pt>
                <c:pt idx="8">
                  <c:v>70</c:v>
                </c:pt>
                <c:pt idx="9">
                  <c:v>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E84-5C40-AF10-07BB2371C406}"/>
            </c:ext>
          </c:extLst>
        </c:ser>
        <c:ser>
          <c:idx val="5"/>
          <c:order val="5"/>
          <c:tx>
            <c:strRef>
              <c:f>Engine!$AJ$21</c:f>
              <c:strCache>
                <c:ptCount val="1"/>
                <c:pt idx="0">
                  <c:v>Profitability start= 50</c:v>
                </c:pt>
              </c:strCache>
            </c:strRef>
          </c:tx>
          <c:spPr>
            <a:ln w="19050" cmpd="sng">
              <a:solidFill>
                <a:srgbClr val="46BDC6"/>
              </a:solidFill>
              <a:prstDash val="dash"/>
            </a:ln>
          </c:spPr>
          <c:marker>
            <c:symbol val="none"/>
          </c:marker>
          <c:cat>
            <c:numRef>
              <c:f>'Graph engine'!$A$2:$A$11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</c:numCache>
            </c:numRef>
          </c:cat>
          <c:val>
            <c:numRef>
              <c:f>Engine!$AJ$22:$AJ$31</c:f>
              <c:numCache>
                <c:formatCode>General</c:formatCode>
                <c:ptCount val="10"/>
                <c:pt idx="0">
                  <c:v>50</c:v>
                </c:pt>
                <c:pt idx="1">
                  <c:v>63.427083188646527</c:v>
                </c:pt>
                <c:pt idx="2">
                  <c:v>69.292599406702607</c:v>
                </c:pt>
                <c:pt idx="3">
                  <c:v>82.921531782806042</c:v>
                </c:pt>
                <c:pt idx="4">
                  <c:v>81.945889827770742</c:v>
                </c:pt>
                <c:pt idx="5">
                  <c:v>80.957985994258706</c:v>
                </c:pt>
                <c:pt idx="6">
                  <c:v>79.958513284062889</c:v>
                </c:pt>
                <c:pt idx="7">
                  <c:v>78.948127830974144</c:v>
                </c:pt>
                <c:pt idx="8">
                  <c:v>77.927450803678212</c:v>
                </c:pt>
                <c:pt idx="9">
                  <c:v>76.897070208012721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3E84-5C40-AF10-07BB2371C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02190148"/>
        <c:axId val="266983277"/>
      </c:lineChart>
      <c:catAx>
        <c:axId val="15021901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sv-SE"/>
              </a:p>
            </c:rich>
          </c:tx>
          <c:overlay val="0"/>
        </c:title>
        <c:numFmt formatCode="General" sourceLinked="1"/>
        <c:majorTickMark val="cross"/>
        <c:minorTickMark val="cross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endParaRPr lang="sv-SE"/>
          </a:p>
        </c:txPr>
        <c:crossAx val="266983277"/>
        <c:crosses val="autoZero"/>
        <c:auto val="1"/>
        <c:lblAlgn val="ctr"/>
        <c:lblOffset val="100"/>
        <c:noMultiLvlLbl val="1"/>
      </c:catAx>
      <c:valAx>
        <c:axId val="26698327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sv-SE"/>
              </a:p>
            </c:rich>
          </c:tx>
          <c:overlay val="0"/>
        </c:title>
        <c:numFmt formatCode="#,##0.00" sourceLinked="1"/>
        <c:majorTickMark val="cross"/>
        <c:minorTickMark val="cross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endParaRPr lang="sv-SE"/>
          </a:p>
        </c:txPr>
        <c:crossAx val="1502190148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000000"/>
              </a:solidFill>
              <a:latin typeface="Roboto"/>
            </a:defRPr>
          </a:pPr>
          <a:endParaRPr lang="sv-SE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r>
              <a:rPr lang="sv-SE"/>
              <a:t>State Expenses by Type</a:t>
            </a:r>
          </a:p>
        </c:rich>
      </c:tx>
      <c:overlay val="0"/>
    </c:title>
    <c:autoTitleDeleted val="0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'Graph engine'!$S$16</c:f>
              <c:strCache>
                <c:ptCount val="1"/>
                <c:pt idx="0">
                  <c:v>Social costs</c:v>
                </c:pt>
              </c:strCache>
            </c:strRef>
          </c:tx>
          <c:spPr>
            <a:solidFill>
              <a:srgbClr val="4285F4"/>
            </a:solidFill>
          </c:spPr>
          <c:invertIfNegative val="1"/>
          <c:cat>
            <c:numRef>
              <c:f>'Graph engine'!$R$17:$R$26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</c:numCache>
            </c:numRef>
          </c:cat>
          <c:val>
            <c:numRef>
              <c:f>'Graph engine'!$S$17:$S$26</c:f>
              <c:numCache>
                <c:formatCode>#,##0</c:formatCode>
                <c:ptCount val="10"/>
                <c:pt idx="0">
                  <c:v>6339928907.3427277</c:v>
                </c:pt>
                <c:pt idx="1">
                  <c:v>7422105113.636364</c:v>
                </c:pt>
                <c:pt idx="2">
                  <c:v>6680818465.90909</c:v>
                </c:pt>
                <c:pt idx="3">
                  <c:v>5287073710.3167496</c:v>
                </c:pt>
                <c:pt idx="4">
                  <c:v>5101338595.1953125</c:v>
                </c:pt>
                <c:pt idx="5">
                  <c:v>4918619644.6224632</c:v>
                </c:pt>
                <c:pt idx="6">
                  <c:v>4738888387.5240307</c:v>
                </c:pt>
                <c:pt idx="7">
                  <c:v>4562115535.6360588</c:v>
                </c:pt>
                <c:pt idx="8">
                  <c:v>4388271065.205513</c:v>
                </c:pt>
                <c:pt idx="9">
                  <c:v>4217324293.6551208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446A-DD48-BE56-E1660C0B091E}"/>
            </c:ext>
          </c:extLst>
        </c:ser>
        <c:ser>
          <c:idx val="1"/>
          <c:order val="1"/>
          <c:tx>
            <c:strRef>
              <c:f>'Graph engine'!$T$16</c:f>
              <c:strCache>
                <c:ptCount val="1"/>
                <c:pt idx="0">
                  <c:v>UBI Older</c:v>
                </c:pt>
              </c:strCache>
            </c:strRef>
          </c:tx>
          <c:spPr>
            <a:solidFill>
              <a:srgbClr val="DB4437"/>
            </a:solidFill>
          </c:spPr>
          <c:invertIfNegative val="1"/>
          <c:cat>
            <c:numRef>
              <c:f>'Graph engine'!$R$17:$R$26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</c:numCache>
            </c:numRef>
          </c:cat>
          <c:val>
            <c:numRef>
              <c:f>'Graph engine'!$T$17:$T$26</c:f>
              <c:numCache>
                <c:formatCode>#,##0</c:formatCode>
                <c:ptCount val="10"/>
                <c:pt idx="0">
                  <c:v>198863636.36363637</c:v>
                </c:pt>
                <c:pt idx="1">
                  <c:v>420454545.45454544</c:v>
                </c:pt>
                <c:pt idx="2">
                  <c:v>885454545.4545455</c:v>
                </c:pt>
                <c:pt idx="3">
                  <c:v>1858218181.8181818</c:v>
                </c:pt>
                <c:pt idx="4">
                  <c:v>1943781090.909091</c:v>
                </c:pt>
                <c:pt idx="5">
                  <c:v>2027632741.8181818</c:v>
                </c:pt>
                <c:pt idx="6">
                  <c:v>2109807359.7090912</c:v>
                </c:pt>
                <c:pt idx="7">
                  <c:v>2190338485.2421823</c:v>
                </c:pt>
                <c:pt idx="8">
                  <c:v>2269258988.2646117</c:v>
                </c:pt>
                <c:pt idx="9">
                  <c:v>2346601081.2265921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1-446A-DD48-BE56-E1660C0B091E}"/>
            </c:ext>
          </c:extLst>
        </c:ser>
        <c:ser>
          <c:idx val="2"/>
          <c:order val="2"/>
          <c:tx>
            <c:strRef>
              <c:f>'Graph engine'!$U$16</c:f>
              <c:strCache>
                <c:ptCount val="1"/>
                <c:pt idx="0">
                  <c:v>UBI young</c:v>
                </c:pt>
              </c:strCache>
            </c:strRef>
          </c:tx>
          <c:spPr>
            <a:solidFill>
              <a:srgbClr val="F4B400"/>
            </a:solidFill>
          </c:spPr>
          <c:invertIfNegative val="1"/>
          <c:cat>
            <c:numRef>
              <c:f>'Graph engine'!$R$17:$R$26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</c:numCache>
            </c:numRef>
          </c:cat>
          <c:val>
            <c:numRef>
              <c:f>'Graph engine'!$U$17:$U$26</c:f>
              <c:numCache>
                <c:formatCode>#,##0</c:formatCode>
                <c:ptCount val="10"/>
                <c:pt idx="0">
                  <c:v>116477272.72727273</c:v>
                </c:pt>
                <c:pt idx="1">
                  <c:v>232954545.45454547</c:v>
                </c:pt>
                <c:pt idx="2">
                  <c:v>465909090.90909094</c:v>
                </c:pt>
                <c:pt idx="3">
                  <c:v>931818181.81818187</c:v>
                </c:pt>
                <c:pt idx="4">
                  <c:v>931818181.81818187</c:v>
                </c:pt>
                <c:pt idx="5">
                  <c:v>931818181.81818187</c:v>
                </c:pt>
                <c:pt idx="6">
                  <c:v>931818181.81818187</c:v>
                </c:pt>
                <c:pt idx="7">
                  <c:v>931818181.81818187</c:v>
                </c:pt>
                <c:pt idx="8">
                  <c:v>931818181.81818187</c:v>
                </c:pt>
                <c:pt idx="9">
                  <c:v>931818181.81818187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2-446A-DD48-BE56-E1660C0B091E}"/>
            </c:ext>
          </c:extLst>
        </c:ser>
        <c:ser>
          <c:idx val="3"/>
          <c:order val="3"/>
          <c:tx>
            <c:strRef>
              <c:f>'Graph engine'!$V$16</c:f>
              <c:strCache>
                <c:ptCount val="1"/>
                <c:pt idx="0">
                  <c:v>Education and health</c:v>
                </c:pt>
              </c:strCache>
            </c:strRef>
          </c:tx>
          <c:spPr>
            <a:solidFill>
              <a:srgbClr val="0F9D58"/>
            </a:solidFill>
          </c:spPr>
          <c:invertIfNegative val="1"/>
          <c:cat>
            <c:numRef>
              <c:f>'Graph engine'!$R$17:$R$26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</c:numCache>
            </c:numRef>
          </c:cat>
          <c:val>
            <c:numRef>
              <c:f>'Graph engine'!$V$17:$V$26</c:f>
              <c:numCache>
                <c:formatCode>General</c:formatCode>
                <c:ptCount val="10"/>
                <c:pt idx="0">
                  <c:v>4278387739.1359105</c:v>
                </c:pt>
                <c:pt idx="1">
                  <c:v>5191401988.636363</c:v>
                </c:pt>
                <c:pt idx="2">
                  <c:v>5163545637.1753235</c:v>
                </c:pt>
                <c:pt idx="3">
                  <c:v>5192427904.684145</c:v>
                </c:pt>
                <c:pt idx="4">
                  <c:v>5128031486.5216618</c:v>
                </c:pt>
                <c:pt idx="5">
                  <c:v>5064473936.7378178</c:v>
                </c:pt>
                <c:pt idx="6">
                  <c:v>5001758954.3901243</c:v>
                </c:pt>
                <c:pt idx="7">
                  <c:v>4939889273.1619864</c:v>
                </c:pt>
                <c:pt idx="8">
                  <c:v>4878866722.6853409</c:v>
                </c:pt>
                <c:pt idx="9">
                  <c:v>4818692286.4499331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3-446A-DD48-BE56-E1660C0B091E}"/>
            </c:ext>
          </c:extLst>
        </c:ser>
        <c:ser>
          <c:idx val="4"/>
          <c:order val="4"/>
          <c:tx>
            <c:strRef>
              <c:f>'Graph engine'!$W$16</c:f>
              <c:strCache>
                <c:ptCount val="1"/>
                <c:pt idx="0">
                  <c:v>Infrastructure</c:v>
                </c:pt>
              </c:strCache>
            </c:strRef>
          </c:tx>
          <c:spPr>
            <a:solidFill>
              <a:srgbClr val="FF6D00"/>
            </a:solidFill>
          </c:spPr>
          <c:invertIfNegative val="1"/>
          <c:cat>
            <c:numRef>
              <c:f>'Graph engine'!$R$17:$R$26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</c:numCache>
            </c:numRef>
          </c:cat>
          <c:val>
            <c:numRef>
              <c:f>'Graph engine'!$W$17:$W$26</c:f>
              <c:numCache>
                <c:formatCode>General</c:formatCode>
                <c:ptCount val="10"/>
                <c:pt idx="0">
                  <c:v>1584588051.5318189</c:v>
                </c:pt>
                <c:pt idx="1">
                  <c:v>1922741477.2727273</c:v>
                </c:pt>
                <c:pt idx="2">
                  <c:v>1912424310.0649345</c:v>
                </c:pt>
                <c:pt idx="3">
                  <c:v>1923121446.1793129</c:v>
                </c:pt>
                <c:pt idx="4">
                  <c:v>1899270920.933949</c:v>
                </c:pt>
                <c:pt idx="5">
                  <c:v>1875731087.6806734</c:v>
                </c:pt>
                <c:pt idx="6">
                  <c:v>1852503316.4407868</c:v>
                </c:pt>
                <c:pt idx="7">
                  <c:v>1829588619.6896243</c:v>
                </c:pt>
                <c:pt idx="8">
                  <c:v>1806987675.0686448</c:v>
                </c:pt>
                <c:pt idx="9">
                  <c:v>1784700846.8333087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4-446A-DD48-BE56-E1660C0B091E}"/>
            </c:ext>
          </c:extLst>
        </c:ser>
        <c:ser>
          <c:idx val="5"/>
          <c:order val="5"/>
          <c:tx>
            <c:strRef>
              <c:f>'Graph engine'!$X$16</c:f>
              <c:strCache>
                <c:ptCount val="1"/>
                <c:pt idx="0">
                  <c:v>Police, justice, administration</c:v>
                </c:pt>
              </c:strCache>
            </c:strRef>
          </c:tx>
          <c:spPr>
            <a:solidFill>
              <a:srgbClr val="46BDC6"/>
            </a:solidFill>
          </c:spPr>
          <c:invertIfNegative val="1"/>
          <c:cat>
            <c:numRef>
              <c:f>'Graph engine'!$R$17:$R$26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</c:numCache>
            </c:numRef>
          </c:cat>
          <c:val>
            <c:numRef>
              <c:f>'Graph engine'!$X$17:$X$26</c:f>
              <c:numCache>
                <c:formatCode>General</c:formatCode>
                <c:ptCount val="10"/>
                <c:pt idx="0">
                  <c:v>3327634908.2168188</c:v>
                </c:pt>
                <c:pt idx="1">
                  <c:v>4037757102.272727</c:v>
                </c:pt>
                <c:pt idx="2">
                  <c:v>4016091051.136363</c:v>
                </c:pt>
                <c:pt idx="3">
                  <c:v>4038555036.9765573</c:v>
                </c:pt>
                <c:pt idx="4">
                  <c:v>3988468933.9612932</c:v>
                </c:pt>
                <c:pt idx="5">
                  <c:v>3939035284.1294141</c:v>
                </c:pt>
                <c:pt idx="6">
                  <c:v>3890256964.5256519</c:v>
                </c:pt>
                <c:pt idx="7">
                  <c:v>3842136101.3482113</c:v>
                </c:pt>
                <c:pt idx="8">
                  <c:v>3794674117.6441541</c:v>
                </c:pt>
                <c:pt idx="9">
                  <c:v>3747871778.3499484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5-446A-DD48-BE56-E1660C0B09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70181550"/>
        <c:axId val="313621195"/>
      </c:barChart>
      <c:catAx>
        <c:axId val="37018155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sv-SE"/>
              </a:p>
            </c:rich>
          </c:tx>
          <c:overlay val="0"/>
        </c:title>
        <c:numFmt formatCode="General" sourceLinked="1"/>
        <c:majorTickMark val="cross"/>
        <c:minorTickMark val="cross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endParaRPr lang="sv-SE"/>
          </a:p>
        </c:txPr>
        <c:crossAx val="313621195"/>
        <c:crosses val="autoZero"/>
        <c:auto val="1"/>
        <c:lblAlgn val="ctr"/>
        <c:lblOffset val="100"/>
        <c:noMultiLvlLbl val="1"/>
      </c:catAx>
      <c:valAx>
        <c:axId val="31362119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sv-SE"/>
              </a:p>
            </c:rich>
          </c:tx>
          <c:overlay val="0"/>
        </c:title>
        <c:numFmt formatCode="#,##0" sourceLinked="1"/>
        <c:majorTickMark val="cross"/>
        <c:minorTickMark val="cross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endParaRPr lang="sv-SE"/>
          </a:p>
        </c:txPr>
        <c:crossAx val="370181550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000000"/>
              </a:solidFill>
              <a:latin typeface="Roboto"/>
            </a:defRPr>
          </a:pPr>
          <a:endParaRPr lang="sv-SE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61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>
            <a:lumMod val="95000"/>
          </a:schemeClr>
        </a:fgClr>
        <a:bgClr>
          <a:schemeClr val="lt1"/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317500" algn="ctr" rotWithShape="0">
          <a:prstClr val="black">
            <a:alpha val="25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20000"/>
          </a:prstClr>
        </a:outerShdw>
      </a:effectLst>
      <a:scene3d>
        <a:camera prst="orthographicFront"/>
        <a:lightRig rig="threePt" dir="t"/>
      </a:scene3d>
      <a:sp3d prstMaterial="matte"/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noFill/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8000"/>
        </a:schemeClr>
      </a:solidFill>
    </cs:spPr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4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chart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221" workbookViewId="0"/>
  </sheetViews>
  <sheetProtection algorithmName="SHA-512" hashValue="8y4OJPilpE2x7AmJX/DRxnsMtnP/jtsszwi8YER2EJVwdfUPez94J5a7/r9wYAza5iGQysgQ01nzilPuY6XD/A==" saltValue="gfM5NTRUna5o39fEV7wh4A==" spinCount="100000" content="1" objects="1"/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50EC19C9-A544-534B-90EF-4C798D05485A}">
  <sheetPr/>
  <sheetViews>
    <sheetView zoomScale="222" workbookViewId="0" zoomToFit="1"/>
  </sheetViews>
  <sheetProtection algorithmName="SHA-512" hashValue="JXXCZZngoTMYSvssLC2Z9iqJkrPEiLVizGM15GcgJ54q2RTu3H4X5e0mhANTZ8pTDJrQGupPum8mtKqWswU6nA==" saltValue="hzgXZJZlJpOR3YtrOGroAQ==" spinCount="100000" content="1" objects="1"/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BBC81291-3702-8E45-B171-25B82551A83F}">
  <sheetPr/>
  <sheetViews>
    <sheetView zoomScale="219" workbookViewId="0"/>
  </sheetViews>
  <sheetProtection algorithmName="SHA-512" hashValue="yI3alORgmvCGzMX7GWQAlNf20lcCSb1abjNqISi72vinrw3n6O4f/1/ytXxZZeuo1Fl2baU9SHOw20MocLeq7w==" saltValue="ZUO31OifSsVX9wO6Elixxg==" spinCount="100000" content="1" objects="1"/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90" workbookViewId="0"/>
  </sheetViews>
  <sheetProtection algorithmName="SHA-512" hashValue="PkoUMCvAnVh1g5SvGKn+BbBVw5wnA9US8FSL6jz+1XjByvtkCE8w+AhLdd/6iwZxvuSDMbzlAkKJJVxk+OxgIg==" saltValue="sy9UlzGdZMgLkrR6WpnKcQ==" spinCount="100000" content="1" objects="1"/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700-000000000000}">
  <sheetPr/>
  <sheetViews>
    <sheetView zoomScale="180" workbookViewId="0"/>
  </sheetViews>
  <sheetProtection algorithmName="SHA-512" hashValue="9l/pjqe+FVEVfi54vwCVhe5Ae5y3vAEJSvJs1G0+iAoZn2N7+/ljT0cAwOhb0iE5qUoZiYe9b6fRX187v/9i4g==" saltValue="ebYoYcQW2g/Lwj2ug6tiwg==" spinCount="100000" content="1" objects="1"/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2120A050-3DE7-B94F-BED2-1FE251093379}">
  <sheetPr/>
  <sheetViews>
    <sheetView zoomScale="222" workbookViewId="0" zoomToFit="1"/>
  </sheetViews>
  <sheetProtection algorithmName="SHA-512" hashValue="9jtOEwEaVoY+uFMsohuEfJubaUCN5BwZTWg+L0kIzYxo+ZDUFFIROHWNzt3nOuH0OE3Tm7kFDdAgBXVW5SKPWA==" saltValue="d2UEd6Y6ezqS8jcThyjF+w==" spinCount="100000" content="1" objects="1"/>
  <pageMargins left="0.7" right="0.7" top="0.75" bottom="0.75" header="0.3" footer="0.3"/>
  <drawing r:id="rId1"/>
</chartsheet>
</file>

<file path=xl/chartsheets/sheet7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548A858E-41EF-2245-BC25-8DF7ADBB15BD}">
  <sheetPr/>
  <sheetViews>
    <sheetView tabSelected="1" zoomScale="222" workbookViewId="0" zoomToFit="1"/>
  </sheetViews>
  <sheetProtection algorithmName="SHA-512" hashValue="d5Bh/8CGXe6MeOFe7Lp+X0QZYQwihmqsNFkKbHB+73PyoxzL0QYLP+x8+U6FSk+mzE0tejmKb9WxOBkmGJeIpQ==" saltValue="VkX2WDb5CNGZMowCHP4piA==" spinCount="100000" content="1" objects="1"/>
  <pageMargins left="0.7" right="0.7" top="0.75" bottom="0.75" header="0.3" footer="0.3"/>
  <pageSetup paperSize="9" orientation="landscape" horizontalDpi="0" verticalDpi="0"/>
  <drawing r:id="rId1"/>
</chartsheet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5" Type="http://schemas.openxmlformats.org/officeDocument/2006/relationships/chart" Target="../charts/chart18.xml"/><Relationship Id="rId4" Type="http://schemas.openxmlformats.org/officeDocument/2006/relationships/chart" Target="../charts/chart17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209550</xdr:colOff>
      <xdr:row>8</xdr:row>
      <xdr:rowOff>152400</xdr:rowOff>
    </xdr:from>
    <xdr:ext cx="2867025" cy="1771650"/>
    <xdr:graphicFrame macro="">
      <xdr:nvGraphicFramePr>
        <xdr:cNvPr id="2" name="Chart 2" titl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13</xdr:col>
      <xdr:colOff>523875</xdr:colOff>
      <xdr:row>6</xdr:row>
      <xdr:rowOff>104775</xdr:rowOff>
    </xdr:from>
    <xdr:ext cx="3057525" cy="1885950"/>
    <xdr:graphicFrame macro="">
      <xdr:nvGraphicFramePr>
        <xdr:cNvPr id="4" name="Chart 4" title="Chart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19</xdr:col>
      <xdr:colOff>466725</xdr:colOff>
      <xdr:row>0</xdr:row>
      <xdr:rowOff>0</xdr:rowOff>
    </xdr:from>
    <xdr:ext cx="5715000" cy="3533775"/>
    <xdr:graphicFrame macro="">
      <xdr:nvGraphicFramePr>
        <xdr:cNvPr id="5" name="Chart 5" title="Chart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  <xdr:oneCellAnchor>
    <xdr:from>
      <xdr:col>26</xdr:col>
      <xdr:colOff>723900</xdr:colOff>
      <xdr:row>1</xdr:row>
      <xdr:rowOff>114300</xdr:rowOff>
    </xdr:from>
    <xdr:ext cx="4686300" cy="2895600"/>
    <xdr:graphicFrame macro="">
      <xdr:nvGraphicFramePr>
        <xdr:cNvPr id="6" name="Chart 6" title="Chart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419100</xdr:colOff>
      <xdr:row>37</xdr:row>
      <xdr:rowOff>66675</xdr:rowOff>
    </xdr:from>
    <xdr:ext cx="5362575" cy="3114675"/>
    <xdr:graphicFrame macro="">
      <xdr:nvGraphicFramePr>
        <xdr:cNvPr id="3" name="Chart 3" title="Chart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28</xdr:col>
      <xdr:colOff>511175</xdr:colOff>
      <xdr:row>0</xdr:row>
      <xdr:rowOff>165100</xdr:rowOff>
    </xdr:from>
    <xdr:ext cx="5978525" cy="2095500"/>
    <xdr:graphicFrame macro="">
      <xdr:nvGraphicFramePr>
        <xdr:cNvPr id="7" name="Chart 7" title="Chart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9502" cy="6068416"/>
    <xdr:graphicFrame macro="">
      <xdr:nvGraphicFramePr>
        <xdr:cNvPr id="2" name="Chart 1" title="Chart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11640" cy="6070600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6492C082-DB94-6B49-9A1C-7E408D7F51DC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6560" cy="6070600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CEAF8C3B-D3E2-E94E-9108-EE992DF3C227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8353" cy="6066118"/>
    <xdr:graphicFrame macro="">
      <xdr:nvGraphicFramePr>
        <xdr:cNvPr id="10" name="Chart 10" title="Chart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9313333" cy="6070600"/>
    <xdr:graphicFrame macro="">
      <xdr:nvGraphicFramePr>
        <xdr:cNvPr id="12" name="Chart 12" title="Chart">
          <a:extLst>
            <a:ext uri="{FF2B5EF4-FFF2-40B4-BE49-F238E27FC236}">
              <a16:creationId xmlns:a16="http://schemas.microsoft.com/office/drawing/2014/main" id="{00000000-0008-0000-0700-00000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absoluteAnchor>
</xdr:wsDr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9311660" cy="6073913"/>
    <xdr:graphicFrame macro="">
      <xdr:nvGraphicFramePr>
        <xdr:cNvPr id="2" name="Diagram 1" title="Chart">
          <a:extLst>
            <a:ext uri="{FF2B5EF4-FFF2-40B4-BE49-F238E27FC236}">
              <a16:creationId xmlns:a16="http://schemas.microsoft.com/office/drawing/2014/main" id="{D2ACC151-D9DF-4E4B-98D3-1D33676A17B5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9.xml><?xml version="1.0" encoding="utf-8"?>
<xdr:wsDr xmlns:xdr="http://schemas.openxmlformats.org/drawingml/2006/spreadsheetDrawing" xmlns:a="http://schemas.openxmlformats.org/drawingml/2006/main">
  <xdr:absoluteAnchor>
    <xdr:pos x="0" y="0"/>
    <xdr:ext cx="9311640" cy="6070600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6C07A52E-0586-DD4F-9AE2-5469C5FF6111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123825</xdr:colOff>
      <xdr:row>36</xdr:row>
      <xdr:rowOff>180975</xdr:rowOff>
    </xdr:from>
    <xdr:ext cx="5715000" cy="3533775"/>
    <xdr:graphicFrame macro="">
      <xdr:nvGraphicFramePr>
        <xdr:cNvPr id="16" name="Chart 16" title="Chart">
          <a:extLst>
            <a:ext uri="{FF2B5EF4-FFF2-40B4-BE49-F238E27FC236}">
              <a16:creationId xmlns:a16="http://schemas.microsoft.com/office/drawing/2014/main" id="{00000000-0008-0000-0B00-000010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5</xdr:col>
      <xdr:colOff>187325</xdr:colOff>
      <xdr:row>0</xdr:row>
      <xdr:rowOff>0</xdr:rowOff>
    </xdr:from>
    <xdr:ext cx="5715000" cy="3533775"/>
    <xdr:graphicFrame macro="">
      <xdr:nvGraphicFramePr>
        <xdr:cNvPr id="17" name="Chart 17" title="Chart">
          <a:extLst>
            <a:ext uri="{FF2B5EF4-FFF2-40B4-BE49-F238E27FC236}">
              <a16:creationId xmlns:a16="http://schemas.microsoft.com/office/drawing/2014/main" id="{00000000-0008-0000-0B00-00001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5</xdr:col>
      <xdr:colOff>158750</xdr:colOff>
      <xdr:row>17</xdr:row>
      <xdr:rowOff>180975</xdr:rowOff>
    </xdr:from>
    <xdr:ext cx="5676900" cy="3448050"/>
    <xdr:graphicFrame macro="">
      <xdr:nvGraphicFramePr>
        <xdr:cNvPr id="18" name="Chart 18" title="Chart">
          <a:extLst>
            <a:ext uri="{FF2B5EF4-FFF2-40B4-BE49-F238E27FC236}">
              <a16:creationId xmlns:a16="http://schemas.microsoft.com/office/drawing/2014/main" id="{00000000-0008-0000-0B00-00001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  <xdr:oneCellAnchor>
    <xdr:from>
      <xdr:col>0</xdr:col>
      <xdr:colOff>0</xdr:colOff>
      <xdr:row>0</xdr:row>
      <xdr:rowOff>0</xdr:rowOff>
    </xdr:from>
    <xdr:ext cx="5715000" cy="3533775"/>
    <xdr:graphicFrame macro="">
      <xdr:nvGraphicFramePr>
        <xdr:cNvPr id="19" name="Chart 19" title="Chart">
          <a:extLst>
            <a:ext uri="{FF2B5EF4-FFF2-40B4-BE49-F238E27FC236}">
              <a16:creationId xmlns:a16="http://schemas.microsoft.com/office/drawing/2014/main" id="{00000000-0008-0000-0B00-00001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 fLocksWithSheet="0"/>
  </xdr:oneCellAnchor>
  <xdr:oneCellAnchor>
    <xdr:from>
      <xdr:col>0</xdr:col>
      <xdr:colOff>57150</xdr:colOff>
      <xdr:row>17</xdr:row>
      <xdr:rowOff>180975</xdr:rowOff>
    </xdr:from>
    <xdr:ext cx="5715000" cy="3533775"/>
    <xdr:graphicFrame macro="">
      <xdr:nvGraphicFramePr>
        <xdr:cNvPr id="20" name="Chart 20" title="Chart">
          <a:extLst>
            <a:ext uri="{FF2B5EF4-FFF2-40B4-BE49-F238E27FC236}">
              <a16:creationId xmlns:a16="http://schemas.microsoft.com/office/drawing/2014/main" id="{00000000-0008-0000-0B00-00001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K1000"/>
  <sheetViews>
    <sheetView workbookViewId="0">
      <selection activeCell="B21" sqref="B21:E34"/>
    </sheetView>
  </sheetViews>
  <sheetFormatPr baseColWidth="10" defaultColWidth="14.5" defaultRowHeight="15.75" customHeight="1"/>
  <cols>
    <col min="1" max="1" width="4" customWidth="1"/>
    <col min="2" max="2" width="20.6640625" customWidth="1"/>
    <col min="7" max="7" width="8.5" customWidth="1"/>
    <col min="10" max="10" width="16.6640625" customWidth="1"/>
    <col min="11" max="11" width="15.6640625" customWidth="1"/>
    <col min="13" max="13" width="16.6640625" customWidth="1"/>
    <col min="27" max="27" width="14.5" customWidth="1"/>
    <col min="31" max="31" width="4.5" customWidth="1"/>
  </cols>
  <sheetData>
    <row r="1" spans="2:26" ht="15.75" customHeight="1">
      <c r="B1">
        <f>IF('DECISIONS INPUT'!G23="","",25)</f>
        <v>25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2:26" ht="15.75" customHeight="1">
      <c r="C2" s="2" t="s">
        <v>0</v>
      </c>
      <c r="D2" s="2" t="s">
        <v>1</v>
      </c>
      <c r="F2" s="3" t="s">
        <v>2</v>
      </c>
      <c r="G2" s="3" t="s">
        <v>3</v>
      </c>
      <c r="H2" s="1"/>
      <c r="I2" s="1"/>
      <c r="J2" s="3" t="s">
        <v>4</v>
      </c>
      <c r="K2" s="3" t="s">
        <v>5</v>
      </c>
      <c r="L2" s="2" t="s">
        <v>6</v>
      </c>
      <c r="M2" s="2" t="s">
        <v>7</v>
      </c>
      <c r="N2" s="3" t="s">
        <v>8</v>
      </c>
      <c r="O2" s="3" t="s">
        <v>9</v>
      </c>
      <c r="P2" s="3" t="s">
        <v>10</v>
      </c>
      <c r="Q2" s="1"/>
      <c r="R2" s="1"/>
      <c r="S2" s="1"/>
      <c r="T2" s="1"/>
      <c r="U2" s="1"/>
      <c r="V2" s="1"/>
      <c r="W2" s="1"/>
      <c r="X2" s="1"/>
      <c r="Y2" s="1"/>
      <c r="Z2" s="1"/>
    </row>
    <row r="3" spans="2:26" ht="15.75" customHeight="1">
      <c r="B3" s="2" t="s">
        <v>11</v>
      </c>
      <c r="C3" s="4">
        <v>10000000</v>
      </c>
      <c r="D3" s="4">
        <f>C3</f>
        <v>10000000</v>
      </c>
      <c r="F3" s="3" t="s">
        <v>12</v>
      </c>
      <c r="G3" s="3" t="s">
        <v>13</v>
      </c>
      <c r="H3" s="1"/>
      <c r="I3" s="1"/>
      <c r="J3" s="5">
        <f>R22</f>
        <v>11931818055.818182</v>
      </c>
      <c r="K3" s="5">
        <f>D22</f>
        <v>10227272619.272728</v>
      </c>
      <c r="L3" s="6">
        <f>P22</f>
        <v>315340909.09090912</v>
      </c>
      <c r="M3" s="5">
        <f>R22+P22</f>
        <v>12247158964.909092</v>
      </c>
      <c r="N3" s="5">
        <f>M3-(M3/1.25)</f>
        <v>2449431792.9818192</v>
      </c>
      <c r="O3" s="5">
        <f>J3+K3+F22</f>
        <v>38004971190.409096</v>
      </c>
      <c r="P3" s="5">
        <f>M3</f>
        <v>12247158964.909092</v>
      </c>
      <c r="Q3" s="1"/>
      <c r="R3" s="1"/>
      <c r="S3" s="1"/>
      <c r="T3" s="1"/>
      <c r="U3" s="1"/>
      <c r="V3" s="1"/>
      <c r="W3" s="1"/>
      <c r="X3" s="1"/>
      <c r="Y3" s="1"/>
      <c r="Z3" s="1"/>
    </row>
    <row r="4" spans="2:26" ht="15.75" customHeight="1">
      <c r="B4" s="2" t="s">
        <v>14</v>
      </c>
      <c r="C4">
        <f>73</f>
        <v>73</v>
      </c>
      <c r="D4" s="4">
        <f>D$3*C4/100</f>
        <v>7300000</v>
      </c>
      <c r="F4" s="1"/>
      <c r="G4" s="1"/>
      <c r="H4" s="1"/>
      <c r="I4" s="1"/>
      <c r="J4" s="1"/>
      <c r="K4" s="1"/>
      <c r="M4" s="1"/>
      <c r="N4" s="1"/>
      <c r="O4" s="1"/>
      <c r="P4" s="1"/>
      <c r="Q4" s="1"/>
      <c r="R4" s="1"/>
      <c r="S4" s="1"/>
      <c r="T4" s="1"/>
      <c r="U4" s="3"/>
      <c r="V4" s="3">
        <v>100</v>
      </c>
      <c r="W4" s="3">
        <v>25</v>
      </c>
      <c r="X4" s="1"/>
      <c r="Y4" s="1"/>
      <c r="Z4" s="1"/>
    </row>
    <row r="5" spans="2:26" ht="15.75" customHeight="1">
      <c r="B5" s="2" t="s">
        <v>15</v>
      </c>
      <c r="C5">
        <f>C4-(C4*C6/100)</f>
        <v>72.956199999999995</v>
      </c>
      <c r="D5" s="4">
        <f t="shared" ref="D5:D6" si="0">D$4*C5/100</f>
        <v>5325802.5999999996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>
        <f>V4*(100+W4)/100</f>
        <v>125</v>
      </c>
      <c r="W5" s="1"/>
      <c r="X5" s="1"/>
      <c r="Y5" s="1"/>
      <c r="Z5" s="1"/>
    </row>
    <row r="6" spans="2:26" ht="15.75" customHeight="1">
      <c r="B6" s="2" t="s">
        <v>16</v>
      </c>
      <c r="C6">
        <f>'DECISIONS INPUT'!D7</f>
        <v>0.06</v>
      </c>
      <c r="D6" s="4">
        <f t="shared" si="0"/>
        <v>4380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>
        <f>V5/1.25</f>
        <v>100</v>
      </c>
      <c r="W6" s="1"/>
      <c r="X6" s="1"/>
      <c r="Y6" s="1"/>
      <c r="Z6" s="1"/>
    </row>
    <row r="7" spans="2:26" ht="15.75" customHeight="1">
      <c r="B7" s="2" t="s">
        <v>17</v>
      </c>
      <c r="C7" s="4">
        <f>100*(176-41)/176</f>
        <v>76.704545454545453</v>
      </c>
      <c r="D7" s="4">
        <f>D$3*C7/100</f>
        <v>7670454.5454545449</v>
      </c>
      <c r="F7" s="1"/>
      <c r="G7" s="1"/>
      <c r="H7" s="1"/>
      <c r="I7" s="1"/>
      <c r="J7" s="1">
        <f>100-(100/1.25)</f>
        <v>20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2:26" ht="15.75" customHeight="1">
      <c r="B8" s="2" t="s">
        <v>18</v>
      </c>
      <c r="C8" s="2">
        <v>10</v>
      </c>
      <c r="D8">
        <f>D6*C8/100</f>
        <v>438</v>
      </c>
      <c r="F8" s="1"/>
      <c r="G8" s="1"/>
      <c r="H8" s="1"/>
      <c r="I8" s="1"/>
      <c r="J8" s="1"/>
      <c r="K8" s="1"/>
      <c r="L8" s="3"/>
      <c r="M8" s="3"/>
      <c r="N8" s="1"/>
      <c r="O8" s="1"/>
      <c r="P8" s="1"/>
      <c r="Q8" s="1"/>
      <c r="R8" s="3" t="s">
        <v>19</v>
      </c>
      <c r="S8" s="3" t="s">
        <v>20</v>
      </c>
      <c r="T8" s="1"/>
      <c r="U8" s="1"/>
      <c r="V8" s="1"/>
      <c r="W8" s="1"/>
      <c r="X8" s="1"/>
      <c r="Y8" s="1"/>
      <c r="Z8" s="1"/>
    </row>
    <row r="9" spans="2:26" ht="15.75" customHeight="1">
      <c r="B9" s="2" t="s">
        <v>21</v>
      </c>
      <c r="C9" s="6">
        <f>'DECISIONS INPUT'!D15</f>
        <v>200000</v>
      </c>
      <c r="D9" s="6">
        <f t="shared" ref="D9:D10" si="1">C9</f>
        <v>200000</v>
      </c>
      <c r="F9" s="1"/>
      <c r="G9" s="1"/>
      <c r="H9" s="1"/>
      <c r="I9" s="1"/>
      <c r="J9" s="1"/>
      <c r="K9" s="1"/>
      <c r="L9" s="1"/>
      <c r="M9" s="3" t="s">
        <v>22</v>
      </c>
      <c r="N9" s="1"/>
      <c r="O9" s="1"/>
      <c r="P9" s="1"/>
      <c r="Q9" s="1"/>
      <c r="R9" s="3">
        <v>25</v>
      </c>
      <c r="S9" s="1">
        <f>100* 0.25</f>
        <v>25</v>
      </c>
      <c r="T9" s="1"/>
      <c r="U9" s="1"/>
      <c r="V9" s="1"/>
      <c r="W9" s="1"/>
      <c r="X9" s="1"/>
      <c r="Y9" s="1"/>
      <c r="Z9" s="1"/>
    </row>
    <row r="10" spans="2:26" ht="15.75" customHeight="1">
      <c r="B10" s="2" t="s">
        <v>23</v>
      </c>
      <c r="C10" s="6">
        <f>'DECISIONS INPUT'!D16</f>
        <v>84000</v>
      </c>
      <c r="D10" s="6">
        <f t="shared" si="1"/>
        <v>84000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>
        <f>R9/0.25</f>
        <v>100</v>
      </c>
      <c r="S10" s="1"/>
      <c r="T10" s="1"/>
      <c r="U10" s="1"/>
      <c r="V10" s="1"/>
      <c r="W10" s="1"/>
      <c r="X10" s="1"/>
      <c r="Y10" s="1"/>
      <c r="Z10" s="1"/>
    </row>
    <row r="11" spans="2:26" ht="15.75" customHeight="1">
      <c r="B11" s="2" t="s">
        <v>24</v>
      </c>
      <c r="C11" s="6">
        <f>'DECISIONS INPUT'!D15-'DECISIONS INPUT'!D16</f>
        <v>116000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2:26" ht="15.75" customHeight="1">
      <c r="B12" s="2" t="s">
        <v>25</v>
      </c>
      <c r="C12" s="4">
        <f>(12*'DECISIONS INPUT'!J4*(C3*C7/100))/1000000</f>
        <v>0</v>
      </c>
      <c r="D12" s="6">
        <f>C12</f>
        <v>0</v>
      </c>
      <c r="F12" s="7">
        <f>'DECISIONS INPUT'!D24/100</f>
        <v>0.6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2:26" ht="15.75" customHeight="1">
      <c r="B13" s="2" t="s">
        <v>18</v>
      </c>
      <c r="C13" t="e">
        <f>#REF!</f>
        <v>#REF!</v>
      </c>
      <c r="D13" t="e">
        <f>C13*D8/100</f>
        <v>#REF!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>
        <f>V22*1.25</f>
        <v>315340909.09090912</v>
      </c>
      <c r="X13" s="1"/>
      <c r="Y13" s="1"/>
      <c r="Z13" s="1"/>
    </row>
    <row r="14" spans="2:26" ht="15.75" customHeight="1">
      <c r="B14" s="2" t="s">
        <v>26</v>
      </c>
      <c r="C14" s="8">
        <f>'DECISIONS INPUT'!D12</f>
        <v>0.2</v>
      </c>
      <c r="D14">
        <f>D9*C14</f>
        <v>40000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>
        <f>W13/1.25</f>
        <v>252272727.27272731</v>
      </c>
      <c r="X14" s="1"/>
      <c r="Y14" s="1"/>
      <c r="Z14" s="1"/>
    </row>
    <row r="15" spans="2:26" ht="15.75" customHeight="1">
      <c r="B15" s="2" t="s">
        <v>27</v>
      </c>
      <c r="C15">
        <f>'DECISIONS INPUT'!D13</f>
        <v>60</v>
      </c>
      <c r="D15">
        <f>D9*C15</f>
        <v>12000000</v>
      </c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>
        <f>26*P22/P22</f>
        <v>26</v>
      </c>
      <c r="R15" s="9">
        <f>Q22*0.66</f>
        <v>11249999881.200001</v>
      </c>
      <c r="S15" s="1">
        <f>2*(Q22-R22)</f>
        <v>10227272619.272728</v>
      </c>
      <c r="T15" s="1"/>
      <c r="U15" s="1"/>
      <c r="V15" s="1"/>
      <c r="W15" s="1"/>
      <c r="X15" s="1"/>
      <c r="Y15" s="1"/>
      <c r="Z15" s="1"/>
    </row>
    <row r="16" spans="2:26" ht="15.75" customHeight="1">
      <c r="B16" s="2" t="s">
        <v>28</v>
      </c>
      <c r="C16" s="4">
        <f>'DECISIONS INPUT'!D9*12*'DECISIONS INPUT'!D4*1000000/1000000</f>
        <v>1260000</v>
      </c>
      <c r="D16" s="6">
        <f>C16</f>
        <v>1260000</v>
      </c>
      <c r="F16" s="1"/>
      <c r="G16" s="1"/>
      <c r="H16" s="1"/>
      <c r="I16" s="1"/>
      <c r="J16" s="1"/>
      <c r="K16" s="1"/>
      <c r="L16" s="1"/>
      <c r="M16" s="1"/>
      <c r="N16" s="1">
        <f>80/100</f>
        <v>0.8</v>
      </c>
      <c r="O16" s="1"/>
      <c r="P16" s="1"/>
      <c r="Q16" s="1"/>
      <c r="R16" s="1"/>
      <c r="S16" s="1"/>
      <c r="T16" s="1"/>
      <c r="U16" s="1">
        <f t="shared" ref="U16:V16" si="2">U22*1.25</f>
        <v>11931818055.81818</v>
      </c>
      <c r="V16" s="1">
        <f t="shared" si="2"/>
        <v>315340909.09090912</v>
      </c>
      <c r="W16" s="1"/>
      <c r="X16" s="1"/>
      <c r="Y16" s="1"/>
      <c r="Z16" s="1"/>
    </row>
    <row r="17" spans="1:37" ht="15.75" customHeight="1">
      <c r="B17" s="2" t="s">
        <v>29</v>
      </c>
      <c r="C17">
        <f>D5*'DECISIONS INPUT'!D9*12</f>
        <v>191728893599.99997</v>
      </c>
      <c r="E17">
        <f>25*0.01</f>
        <v>0.25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37" ht="15.75" customHeight="1"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37" ht="15.75" customHeight="1">
      <c r="B19" s="2" t="s">
        <v>30</v>
      </c>
      <c r="C19" s="2">
        <v>6</v>
      </c>
      <c r="D19" s="2">
        <v>5</v>
      </c>
      <c r="E19" s="2">
        <v>7</v>
      </c>
      <c r="F19" s="3">
        <v>8</v>
      </c>
      <c r="G19" s="3"/>
      <c r="H19" s="3">
        <v>1</v>
      </c>
      <c r="I19" s="3"/>
      <c r="J19" s="3"/>
      <c r="K19" s="3"/>
      <c r="L19" s="3"/>
      <c r="M19" s="3">
        <v>2</v>
      </c>
      <c r="N19" s="1"/>
      <c r="O19" s="1"/>
      <c r="P19" s="1"/>
      <c r="Q19" s="3">
        <v>3</v>
      </c>
      <c r="R19" s="3">
        <v>4</v>
      </c>
      <c r="S19" s="1"/>
      <c r="T19" s="1"/>
      <c r="U19" s="1"/>
      <c r="V19" s="1"/>
      <c r="W19" s="1"/>
      <c r="X19" s="1"/>
      <c r="Y19" s="1"/>
      <c r="Z19" s="1"/>
      <c r="AA19" s="2" t="s">
        <v>31</v>
      </c>
    </row>
    <row r="20" spans="1:37" ht="15.75" customHeight="1">
      <c r="C20" s="10" t="s">
        <v>32</v>
      </c>
      <c r="D20" s="11"/>
      <c r="E20" s="11"/>
      <c r="F20" s="12"/>
      <c r="G20" s="13"/>
      <c r="H20" s="14" t="s">
        <v>33</v>
      </c>
      <c r="I20" s="15"/>
      <c r="J20" s="15"/>
      <c r="K20" s="14"/>
      <c r="L20" s="16" t="s">
        <v>34</v>
      </c>
      <c r="M20" s="17" t="s">
        <v>35</v>
      </c>
      <c r="N20" s="18"/>
      <c r="O20" s="18"/>
      <c r="P20" s="18"/>
      <c r="Q20" s="3" t="s">
        <v>2</v>
      </c>
      <c r="R20" s="3" t="s">
        <v>36</v>
      </c>
      <c r="S20" s="3" t="s">
        <v>37</v>
      </c>
      <c r="T20" s="3" t="s">
        <v>38</v>
      </c>
      <c r="U20" s="3" t="s">
        <v>39</v>
      </c>
      <c r="V20" s="3" t="s">
        <v>40</v>
      </c>
      <c r="W20" s="3" t="s">
        <v>41</v>
      </c>
      <c r="X20" s="3" t="s">
        <v>42</v>
      </c>
      <c r="Y20" s="3" t="s">
        <v>43</v>
      </c>
      <c r="Z20" s="3" t="s">
        <v>44</v>
      </c>
      <c r="AD20" s="19" t="s">
        <v>45</v>
      </c>
      <c r="AE20" s="20"/>
      <c r="AF20" s="21" t="s">
        <v>46</v>
      </c>
      <c r="AG20" s="20"/>
      <c r="AH20" s="20"/>
      <c r="AI20" s="2" t="s">
        <v>47</v>
      </c>
    </row>
    <row r="21" spans="1:37" ht="15.75" customHeight="1">
      <c r="A21" s="22"/>
      <c r="B21" s="23" t="s">
        <v>48</v>
      </c>
      <c r="C21" s="23" t="s">
        <v>42</v>
      </c>
      <c r="D21" s="23" t="s">
        <v>157</v>
      </c>
      <c r="E21" s="23" t="s">
        <v>49</v>
      </c>
      <c r="F21" s="24" t="s">
        <v>50</v>
      </c>
      <c r="G21" s="24" t="s">
        <v>51</v>
      </c>
      <c r="H21" s="24" t="s">
        <v>52</v>
      </c>
      <c r="I21" s="24" t="s">
        <v>53</v>
      </c>
      <c r="J21" s="24" t="s">
        <v>54</v>
      </c>
      <c r="K21" s="24" t="s">
        <v>55</v>
      </c>
      <c r="L21" s="24" t="s">
        <v>34</v>
      </c>
      <c r="M21" s="24" t="s">
        <v>56</v>
      </c>
      <c r="N21" s="24" t="s">
        <v>57</v>
      </c>
      <c r="O21" s="24" t="s">
        <v>58</v>
      </c>
      <c r="P21" s="24" t="s">
        <v>59</v>
      </c>
      <c r="Q21" s="25"/>
      <c r="R21" s="24" t="s">
        <v>60</v>
      </c>
      <c r="S21" s="24"/>
      <c r="T21" s="26" t="s">
        <v>61</v>
      </c>
      <c r="U21" s="24" t="s">
        <v>62</v>
      </c>
      <c r="V21" s="24" t="s">
        <v>63</v>
      </c>
      <c r="W21" s="24"/>
      <c r="X21" s="24"/>
      <c r="Y21" s="24" t="s">
        <v>64</v>
      </c>
      <c r="Z21" s="22"/>
      <c r="AA21" s="23" t="s">
        <v>65</v>
      </c>
      <c r="AB21" s="23" t="s">
        <v>66</v>
      </c>
      <c r="AC21" s="23" t="s">
        <v>9</v>
      </c>
      <c r="AD21" s="27" t="s">
        <v>67</v>
      </c>
      <c r="AE21" s="27" t="s">
        <v>67</v>
      </c>
      <c r="AF21" s="23" t="s">
        <v>68</v>
      </c>
      <c r="AG21" s="28" t="s">
        <v>69</v>
      </c>
      <c r="AH21" s="28"/>
      <c r="AI21" s="23" t="s">
        <v>70</v>
      </c>
      <c r="AJ21" s="23" t="s">
        <v>71</v>
      </c>
      <c r="AK21" s="22"/>
    </row>
    <row r="22" spans="1:37" ht="15.75" customHeight="1">
      <c r="B22" s="2">
        <v>0</v>
      </c>
      <c r="C22" s="4">
        <f>(P22+R22)-  ((P22+R22)/(1+('DECISIONS INPUT'!D23*0.01)))</f>
        <v>2449431792.9818192</v>
      </c>
      <c r="D22" s="4">
        <f>(Q22*'DECISIONS INPUT'!D24/100)</f>
        <v>10227272619.272728</v>
      </c>
      <c r="E22">
        <f t="shared" ref="E22:E34" si="3">(C22+D22)*20/80</f>
        <v>3169176103.0636368</v>
      </c>
      <c r="F22" s="5">
        <f t="shared" ref="F22:F34" si="4">C22+D22+E22</f>
        <v>15845880515.318184</v>
      </c>
      <c r="G22" s="3">
        <v>100</v>
      </c>
      <c r="H22" s="5">
        <f>'DECISIONS INPUT'!F6</f>
        <v>5681818.1818181816</v>
      </c>
      <c r="I22" s="9">
        <f>('DECISIONS INPUT'!$D$3*1000000)-H22-J22</f>
        <v>1988636.3636363638</v>
      </c>
      <c r="J22" s="9">
        <f>'DECISIONS INPUT'!D5*H22/100</f>
        <v>2329545.4545454546</v>
      </c>
      <c r="K22" s="9">
        <f>'DECISIONS INPUT'!D29</f>
        <v>3000</v>
      </c>
      <c r="L22" s="9">
        <f t="shared" ref="L22:L34" si="5">(F22*0.42)-O22-N22</f>
        <v>6339928907.3427277</v>
      </c>
      <c r="M22" s="9">
        <f t="shared" ref="M22:M34" si="6">L22</f>
        <v>6339928907.3427277</v>
      </c>
      <c r="N22" s="9">
        <f>I22*'DECISIONS INPUT'!D25</f>
        <v>198863636.36363637</v>
      </c>
      <c r="O22" s="9">
        <f>J22*'DECISIONS INPUT'!D25*0.5</f>
        <v>116477272.72727273</v>
      </c>
      <c r="P22" s="9">
        <f t="shared" ref="P22:P34" si="7">N22+O22</f>
        <v>315340909.09090912</v>
      </c>
      <c r="Q22" s="9">
        <f>'DECISIONS INPUT'!D9*('DECISIONS INPUT'!F6*1-'DECISIONS INPUT'!D7)</f>
        <v>17045454365.454546</v>
      </c>
      <c r="R22" s="9">
        <f>Q22*(1-('DECISIONS INPUT'!$D$24*0.5/100))</f>
        <v>11931818055.818182</v>
      </c>
      <c r="S22" s="9">
        <f t="shared" ref="S22:S31" si="8">2*(Q22-R22)</f>
        <v>10227272619.272728</v>
      </c>
      <c r="T22" s="9">
        <f t="shared" ref="T22:T31" si="9">P22+R22</f>
        <v>12247158964.909092</v>
      </c>
      <c r="U22" s="9">
        <f t="shared" ref="U22:U31" si="10">R22/((100+X22)*0.01)</f>
        <v>9545454444.6545448</v>
      </c>
      <c r="V22" s="9">
        <f t="shared" ref="V22:V31" si="11">P22/((100+X22)*0.01)</f>
        <v>252272727.27272731</v>
      </c>
      <c r="W22" s="1">
        <f t="shared" ref="W22:W31" si="12">(P22/((100+X22)*0.01))</f>
        <v>252272727.27272731</v>
      </c>
      <c r="X22" s="32">
        <f>'Graph engine'!J17</f>
        <v>25</v>
      </c>
      <c r="Y22" s="1">
        <f>100*(I22+J22)/H22</f>
        <v>76</v>
      </c>
      <c r="Z22" s="9">
        <f>H22*10/100</f>
        <v>568181.81818181812</v>
      </c>
      <c r="AA22" s="6">
        <f t="shared" ref="AA22:AA31" si="13">Q22+P22</f>
        <v>17360795274.545456</v>
      </c>
      <c r="AB22" s="6">
        <f t="shared" ref="AB22:AB31" si="14">F22-M22</f>
        <v>9505951607.9754562</v>
      </c>
      <c r="AC22" s="6">
        <f t="shared" ref="AC22:AC31" si="15">AA22+AB22</f>
        <v>26866746882.520912</v>
      </c>
      <c r="AD22" s="33">
        <f t="shared" ref="AD22:AD31" si="16">H22+I22+J22</f>
        <v>10000000</v>
      </c>
      <c r="AE22" s="33">
        <f t="shared" ref="AE22:AE31" si="17">M22+N22</f>
        <v>6538792543.7063637</v>
      </c>
      <c r="AF22" s="33">
        <f t="shared" ref="AF22:AF31" si="18">P22+M22</f>
        <v>6655269816.4336367</v>
      </c>
      <c r="AG22" s="33">
        <f t="shared" ref="AG22:AG31" si="19">F22</f>
        <v>15845880515.318184</v>
      </c>
      <c r="AH22" s="20">
        <f t="shared" ref="AH22:AH31" si="20">100*AF22/AG22</f>
        <v>41.999999999999993</v>
      </c>
      <c r="AI22" s="6">
        <f>AC22-Q22-((AC22-Q22)*X22/100)</f>
        <v>7365969387.7997742</v>
      </c>
      <c r="AJ22">
        <f t="shared" ref="AJ22:AJ34" si="21">50*AI22/$AI$22</f>
        <v>50</v>
      </c>
    </row>
    <row r="23" spans="1:37" ht="15.75" customHeight="1">
      <c r="B23">
        <f t="shared" ref="B23:B34" si="22">1+B22</f>
        <v>1</v>
      </c>
      <c r="C23" s="4">
        <f>(P23+R23)- (P23+R23)/(1+('DECISIONS INPUT'!E23*0.01))</f>
        <v>2519431818.181818</v>
      </c>
      <c r="D23" s="4">
        <f>(Q23*'DECISIONS INPUT'!E24/100)</f>
        <v>12862500000</v>
      </c>
      <c r="E23">
        <f t="shared" si="3"/>
        <v>3845482954.5454545</v>
      </c>
      <c r="F23" s="5">
        <f t="shared" si="4"/>
        <v>19227414772.727272</v>
      </c>
      <c r="G23" s="34">
        <f t="shared" ref="G23:G34" si="23">100*F23/$F$22</f>
        <v>121.34014739124258</v>
      </c>
      <c r="H23" s="34">
        <f>$H$22*(1+'DECISIONS INPUT'!E31/100)</f>
        <v>5568181.8181818184</v>
      </c>
      <c r="I23" s="9">
        <f>('DECISIONS INPUT'!$D$3*1000000)-H23-J23</f>
        <v>2102272.7272727271</v>
      </c>
      <c r="J23" s="9">
        <f t="shared" ref="J23:J34" si="24">J22</f>
        <v>2329545.4545454546</v>
      </c>
      <c r="K23" s="9">
        <f>'DECISIONS INPUT'!E29</f>
        <v>3300</v>
      </c>
      <c r="L23" s="9">
        <f t="shared" si="5"/>
        <v>7422105113.636364</v>
      </c>
      <c r="M23" s="9">
        <f t="shared" si="6"/>
        <v>7422105113.636364</v>
      </c>
      <c r="N23" s="9">
        <f>I23*'DECISIONS INPUT'!E25</f>
        <v>420454545.45454544</v>
      </c>
      <c r="O23" s="9">
        <f>J23*'DECISIONS INPUT'!E25*0.5</f>
        <v>232954545.45454547</v>
      </c>
      <c r="P23" s="9">
        <f t="shared" si="7"/>
        <v>653409090.90909088</v>
      </c>
      <c r="Q23" s="9">
        <f t="shared" ref="Q23:Q34" si="25">H23*K23</f>
        <v>18375000000</v>
      </c>
      <c r="R23" s="9">
        <f>Q23*(1-('DECISIONS INPUT'!E$24*0.5/100))</f>
        <v>11943750000</v>
      </c>
      <c r="S23" s="9">
        <f t="shared" si="8"/>
        <v>12862500000</v>
      </c>
      <c r="T23" s="9">
        <f t="shared" si="9"/>
        <v>12597159090.90909</v>
      </c>
      <c r="U23" s="9">
        <f t="shared" si="10"/>
        <v>9555000000</v>
      </c>
      <c r="V23" s="9">
        <f t="shared" si="11"/>
        <v>522727272.72727269</v>
      </c>
      <c r="W23" s="1">
        <f t="shared" si="12"/>
        <v>522727272.72727269</v>
      </c>
      <c r="X23" s="32">
        <f>'Graph engine'!J18</f>
        <v>25</v>
      </c>
      <c r="Y23" s="1">
        <f t="shared" ref="Y23:Y34" si="26">100* (I23+J23)/H23</f>
        <v>79.591836734693871</v>
      </c>
      <c r="Z23" s="9">
        <f>$Z$22*(1+('DECISIONS INPUT'!E31/100))</f>
        <v>556818.18181818177</v>
      </c>
      <c r="AA23" s="6">
        <f t="shared" si="13"/>
        <v>19028409090.909092</v>
      </c>
      <c r="AB23" s="6">
        <f t="shared" si="14"/>
        <v>11805309659.090908</v>
      </c>
      <c r="AC23" s="6">
        <f t="shared" si="15"/>
        <v>30833718750</v>
      </c>
      <c r="AD23" s="33">
        <f t="shared" si="16"/>
        <v>10000000</v>
      </c>
      <c r="AE23" s="33">
        <f t="shared" si="17"/>
        <v>7842559659.090909</v>
      </c>
      <c r="AF23" s="33">
        <f t="shared" si="18"/>
        <v>8075514204.545455</v>
      </c>
      <c r="AG23" s="33">
        <f t="shared" si="19"/>
        <v>19227414772.727272</v>
      </c>
      <c r="AH23" s="20">
        <f t="shared" si="20"/>
        <v>42.000000000000007</v>
      </c>
      <c r="AI23" s="6">
        <f t="shared" ref="AI23:AI34" si="27">AC23-Q23-((AC23-Q23)*X23/100)</f>
        <v>9344039062.5</v>
      </c>
      <c r="AJ23">
        <f t="shared" si="21"/>
        <v>63.427083188646527</v>
      </c>
    </row>
    <row r="24" spans="1:37" ht="15.75" customHeight="1">
      <c r="B24">
        <f t="shared" si="22"/>
        <v>2</v>
      </c>
      <c r="C24" s="4">
        <f>(P24+R24)-(P24+R24)/(1+('DECISIONS INPUT'!F23*0.01))</f>
        <v>2694144480.5194798</v>
      </c>
      <c r="D24" s="4">
        <f>(Q24*'DECISIONS INPUT'!F24/100)</f>
        <v>12605250000</v>
      </c>
      <c r="E24">
        <f t="shared" si="3"/>
        <v>3824848620.1298699</v>
      </c>
      <c r="F24" s="5">
        <f t="shared" si="4"/>
        <v>19124243100.649349</v>
      </c>
      <c r="G24" s="34">
        <f t="shared" si="23"/>
        <v>120.6890527930081</v>
      </c>
      <c r="H24" s="5">
        <f>$H$23*(1+'DECISIONS INPUT'!F31/100)</f>
        <v>5456818.1818181816</v>
      </c>
      <c r="I24" s="9">
        <f>('DECISIONS INPUT'!$D$3*1000000)-H24-J24</f>
        <v>2213636.3636363638</v>
      </c>
      <c r="J24" s="9">
        <f t="shared" si="24"/>
        <v>2329545.4545454546</v>
      </c>
      <c r="K24" s="9">
        <f>'DECISIONS INPUT'!F29</f>
        <v>3300</v>
      </c>
      <c r="L24" s="9">
        <f t="shared" si="5"/>
        <v>6680818465.90909</v>
      </c>
      <c r="M24" s="9">
        <f t="shared" si="6"/>
        <v>6680818465.90909</v>
      </c>
      <c r="N24" s="9">
        <f>I24*'DECISIONS INPUT'!F25</f>
        <v>885454545.4545455</v>
      </c>
      <c r="O24" s="9">
        <f>J24*'DECISIONS INPUT'!F25*0.5</f>
        <v>465909090.90909094</v>
      </c>
      <c r="P24" s="9">
        <f t="shared" si="7"/>
        <v>1351363636.3636365</v>
      </c>
      <c r="Q24" s="9">
        <f t="shared" si="25"/>
        <v>18007500000</v>
      </c>
      <c r="R24" s="9">
        <f>Q24*(1-('DECISIONS INPUT'!F$24*0.5/100))</f>
        <v>11704875000</v>
      </c>
      <c r="S24" s="9">
        <f t="shared" si="8"/>
        <v>12605250000</v>
      </c>
      <c r="T24" s="9">
        <f t="shared" si="9"/>
        <v>13056238636.363636</v>
      </c>
      <c r="U24" s="9">
        <f t="shared" si="10"/>
        <v>9289583333.333334</v>
      </c>
      <c r="V24" s="9">
        <f t="shared" si="11"/>
        <v>1072510822.5108227</v>
      </c>
      <c r="W24" s="1">
        <f t="shared" si="12"/>
        <v>1072510822.5108227</v>
      </c>
      <c r="X24" s="32">
        <f>'Graph engine'!J19</f>
        <v>26</v>
      </c>
      <c r="Y24" s="1">
        <f t="shared" si="26"/>
        <v>83.256976259891715</v>
      </c>
      <c r="Z24" s="9">
        <f>$Z$22*(1+('DECISIONS INPUT'!F31/100))</f>
        <v>556818.18181818177</v>
      </c>
      <c r="AA24" s="6">
        <f t="shared" si="13"/>
        <v>19358863636.363636</v>
      </c>
      <c r="AB24" s="6">
        <f t="shared" si="14"/>
        <v>12443424634.740259</v>
      </c>
      <c r="AC24" s="6">
        <f t="shared" si="15"/>
        <v>31802288271.103897</v>
      </c>
      <c r="AD24" s="33">
        <f t="shared" si="16"/>
        <v>10000000</v>
      </c>
      <c r="AE24" s="33">
        <f t="shared" si="17"/>
        <v>7566273011.363636</v>
      </c>
      <c r="AF24" s="33">
        <f t="shared" si="18"/>
        <v>8032182102.2727261</v>
      </c>
      <c r="AG24" s="33">
        <f t="shared" si="19"/>
        <v>19124243100.649349</v>
      </c>
      <c r="AH24" s="20">
        <f t="shared" si="20"/>
        <v>41.999999999999993</v>
      </c>
      <c r="AI24" s="6">
        <f t="shared" si="27"/>
        <v>10208143320.616884</v>
      </c>
      <c r="AJ24">
        <f t="shared" si="21"/>
        <v>69.292599406702607</v>
      </c>
    </row>
    <row r="25" spans="1:37" ht="15.75" customHeight="1">
      <c r="B25">
        <f t="shared" si="22"/>
        <v>3</v>
      </c>
      <c r="C25" s="4">
        <f>(P25+R25)-(P25+R25)/(1+('DECISIONS INPUT'!G23*0.01))</f>
        <v>3031826569.4345036</v>
      </c>
      <c r="D25" s="4">
        <f>(Q25*'DECISIONS INPUT'!G24/100)</f>
        <v>12353145000</v>
      </c>
      <c r="E25">
        <f t="shared" si="3"/>
        <v>3846242892.3586259</v>
      </c>
      <c r="F25" s="5">
        <f t="shared" si="4"/>
        <v>19231214461.793129</v>
      </c>
      <c r="G25" s="34">
        <f t="shared" si="23"/>
        <v>121.36412642517625</v>
      </c>
      <c r="H25" s="5">
        <f>$H$24*(1+'DECISIONS INPUT'!G31/100)</f>
        <v>5347681.8181818184</v>
      </c>
      <c r="I25" s="9">
        <f>('DECISIONS INPUT'!$D$3*1000000)-H25-J25</f>
        <v>2322772.7272727271</v>
      </c>
      <c r="J25" s="9">
        <f t="shared" si="24"/>
        <v>2329545.4545454546</v>
      </c>
      <c r="K25" s="9">
        <f>'DECISIONS INPUT'!G29</f>
        <v>3300</v>
      </c>
      <c r="L25" s="9">
        <f t="shared" si="5"/>
        <v>5287073710.3167496</v>
      </c>
      <c r="M25" s="9">
        <f t="shared" si="6"/>
        <v>5287073710.3167496</v>
      </c>
      <c r="N25" s="9">
        <f>I25*'DECISIONS INPUT'!G25</f>
        <v>1858218181.8181818</v>
      </c>
      <c r="O25" s="9">
        <f>J25*'DECISIONS INPUT'!G25*0.5</f>
        <v>931818181.81818187</v>
      </c>
      <c r="P25" s="9">
        <f t="shared" si="7"/>
        <v>2790036363.6363635</v>
      </c>
      <c r="Q25" s="9">
        <f t="shared" si="25"/>
        <v>17647350000</v>
      </c>
      <c r="R25" s="9">
        <f>Q25*(1-('DECISIONS INPUT'!G$24*0.5/100))</f>
        <v>11470777500</v>
      </c>
      <c r="S25" s="9">
        <f t="shared" si="8"/>
        <v>12353145000</v>
      </c>
      <c r="T25" s="9">
        <f t="shared" si="9"/>
        <v>14260813863.636364</v>
      </c>
      <c r="U25" s="9">
        <f t="shared" si="10"/>
        <v>9032108267.7165356</v>
      </c>
      <c r="V25" s="9">
        <f t="shared" si="11"/>
        <v>2196879026.4853253</v>
      </c>
      <c r="W25" s="1">
        <f t="shared" si="12"/>
        <v>2196879026.4853253</v>
      </c>
      <c r="X25" s="32">
        <f>'Graph engine'!J20</f>
        <v>27</v>
      </c>
      <c r="Y25" s="1">
        <f t="shared" si="26"/>
        <v>86.996914550909906</v>
      </c>
      <c r="Z25" s="9">
        <f>$Z$22*(1+('DECISIONS INPUT'!G31/100))</f>
        <v>556818.18181818177</v>
      </c>
      <c r="AA25" s="6">
        <f t="shared" si="13"/>
        <v>20437386363.636364</v>
      </c>
      <c r="AB25" s="6">
        <f t="shared" si="14"/>
        <v>13944140751.476379</v>
      </c>
      <c r="AC25" s="6">
        <f t="shared" si="15"/>
        <v>34381527115.112747</v>
      </c>
      <c r="AD25" s="33">
        <f t="shared" si="16"/>
        <v>10000000</v>
      </c>
      <c r="AE25" s="33">
        <f t="shared" si="17"/>
        <v>7145291892.1349316</v>
      </c>
      <c r="AF25" s="33">
        <f t="shared" si="18"/>
        <v>8077110073.9531136</v>
      </c>
      <c r="AG25" s="33">
        <f t="shared" si="19"/>
        <v>19231214461.793129</v>
      </c>
      <c r="AH25" s="20">
        <f t="shared" si="20"/>
        <v>42</v>
      </c>
      <c r="AI25" s="6">
        <f t="shared" si="27"/>
        <v>12215949294.032307</v>
      </c>
      <c r="AJ25">
        <f t="shared" si="21"/>
        <v>82.921531782806042</v>
      </c>
    </row>
    <row r="26" spans="1:37" ht="15.75" customHeight="1">
      <c r="B26">
        <f t="shared" si="22"/>
        <v>4</v>
      </c>
      <c r="C26" s="4">
        <f>(P26+R26)-(P26+R26)/(1+('DECISIONS INPUT'!H23*0.01))</f>
        <v>3088085267.47159</v>
      </c>
      <c r="D26" s="4">
        <f>(Q26*'DECISIONS INPUT'!H24/100)</f>
        <v>12106082100</v>
      </c>
      <c r="E26">
        <f t="shared" si="3"/>
        <v>3798541841.867898</v>
      </c>
      <c r="F26" s="5">
        <f t="shared" si="4"/>
        <v>18992709209.339489</v>
      </c>
      <c r="G26" s="34">
        <f t="shared" si="23"/>
        <v>119.85897022875612</v>
      </c>
      <c r="H26" s="5">
        <f>$H$25*(1+'DECISIONS INPUT'!H31/100)</f>
        <v>5240728.1818181816</v>
      </c>
      <c r="I26" s="9">
        <f>('DECISIONS INPUT'!$D$3*1000000)-H26-J26</f>
        <v>2429726.3636363638</v>
      </c>
      <c r="J26" s="9">
        <f t="shared" si="24"/>
        <v>2329545.4545454546</v>
      </c>
      <c r="K26" s="9">
        <f>'DECISIONS INPUT'!H29</f>
        <v>3300</v>
      </c>
      <c r="L26" s="9">
        <f t="shared" si="5"/>
        <v>5101338595.1953125</v>
      </c>
      <c r="M26" s="9">
        <f t="shared" si="6"/>
        <v>5101338595.1953125</v>
      </c>
      <c r="N26" s="9">
        <f>I26*'DECISIONS INPUT'!H25</f>
        <v>1943781090.909091</v>
      </c>
      <c r="O26" s="9">
        <f>J26*'DECISIONS INPUT'!H25*0.5</f>
        <v>931818181.81818187</v>
      </c>
      <c r="P26" s="9">
        <f t="shared" si="7"/>
        <v>2875599272.727273</v>
      </c>
      <c r="Q26" s="9">
        <f t="shared" si="25"/>
        <v>17294403000</v>
      </c>
      <c r="R26" s="9">
        <f>Q26*(1-('DECISIONS INPUT'!H$24*0.5/100))</f>
        <v>11241361950</v>
      </c>
      <c r="S26" s="9">
        <f t="shared" si="8"/>
        <v>12106082100</v>
      </c>
      <c r="T26" s="9">
        <f t="shared" si="9"/>
        <v>14116961222.727272</v>
      </c>
      <c r="U26" s="9">
        <f t="shared" si="10"/>
        <v>8782314023.4375</v>
      </c>
      <c r="V26" s="9">
        <f t="shared" si="11"/>
        <v>2246561931.818182</v>
      </c>
      <c r="W26" s="1">
        <f t="shared" si="12"/>
        <v>2246561931.818182</v>
      </c>
      <c r="X26" s="32">
        <f>'Graph engine'!J21</f>
        <v>28</v>
      </c>
      <c r="Y26" s="1">
        <f t="shared" si="26"/>
        <v>90.813178113173379</v>
      </c>
      <c r="Z26" s="9">
        <f>$Z$22*(1+('DECISIONS INPUT'!H31/100))</f>
        <v>556818.18181818177</v>
      </c>
      <c r="AA26" s="6">
        <f t="shared" si="13"/>
        <v>20170002272.727272</v>
      </c>
      <c r="AB26" s="6">
        <f t="shared" si="14"/>
        <v>13891370614.144176</v>
      </c>
      <c r="AC26" s="6">
        <f t="shared" si="15"/>
        <v>34061372886.871449</v>
      </c>
      <c r="AD26" s="33">
        <f t="shared" si="16"/>
        <v>10000000</v>
      </c>
      <c r="AE26" s="33">
        <f t="shared" si="17"/>
        <v>7045119686.1044035</v>
      </c>
      <c r="AF26" s="33">
        <f t="shared" si="18"/>
        <v>7976937867.9225855</v>
      </c>
      <c r="AG26" s="33">
        <f t="shared" si="19"/>
        <v>18992709209.339489</v>
      </c>
      <c r="AH26" s="20">
        <f t="shared" si="20"/>
        <v>42</v>
      </c>
      <c r="AI26" s="6">
        <f t="shared" si="27"/>
        <v>12072218318.547443</v>
      </c>
      <c r="AJ26">
        <f t="shared" si="21"/>
        <v>81.945889827770742</v>
      </c>
    </row>
    <row r="27" spans="1:37" ht="15.75" customHeight="1">
      <c r="B27">
        <f t="shared" si="22"/>
        <v>5</v>
      </c>
      <c r="C27" s="4">
        <f>(P27+R27)-(P27+R27)/(1+('DECISIONS INPUT'!I23*0.01))</f>
        <v>3141888243.445385</v>
      </c>
      <c r="D27" s="4">
        <f>(Q27*'DECISIONS INPUT'!I24/100)</f>
        <v>11863960458</v>
      </c>
      <c r="E27">
        <f t="shared" si="3"/>
        <v>3751462175.3613462</v>
      </c>
      <c r="F27" s="5">
        <f t="shared" si="4"/>
        <v>18757310876.806732</v>
      </c>
      <c r="G27" s="34">
        <f t="shared" si="23"/>
        <v>118.37342114673953</v>
      </c>
      <c r="H27" s="5">
        <f>$H$26*(1+'DECISIONS INPUT'!I31/100)</f>
        <v>5135913.6181818182</v>
      </c>
      <c r="I27" s="9">
        <f>('DECISIONS INPUT'!$D$3*1000000)-H27-J27</f>
        <v>2534540.9272727272</v>
      </c>
      <c r="J27" s="9">
        <f t="shared" si="24"/>
        <v>2329545.4545454546</v>
      </c>
      <c r="K27" s="9">
        <f>'DECISIONS INPUT'!I29</f>
        <v>3300</v>
      </c>
      <c r="L27" s="9">
        <f t="shared" si="5"/>
        <v>4918619644.6224632</v>
      </c>
      <c r="M27" s="9">
        <f t="shared" si="6"/>
        <v>4918619644.6224632</v>
      </c>
      <c r="N27" s="9">
        <f>I27*'DECISIONS INPUT'!I25</f>
        <v>2027632741.8181818</v>
      </c>
      <c r="O27" s="9">
        <f>J27*'DECISIONS INPUT'!I25*0.5</f>
        <v>931818181.81818187</v>
      </c>
      <c r="P27" s="9">
        <f t="shared" si="7"/>
        <v>2959450923.6363635</v>
      </c>
      <c r="Q27" s="9">
        <f t="shared" si="25"/>
        <v>16948514940</v>
      </c>
      <c r="R27" s="9">
        <f>Q27*(1-('DECISIONS INPUT'!I$24*0.5/100))</f>
        <v>11016534711</v>
      </c>
      <c r="S27" s="9">
        <f t="shared" si="8"/>
        <v>11863960458</v>
      </c>
      <c r="T27" s="9">
        <f t="shared" si="9"/>
        <v>13975985634.636364</v>
      </c>
      <c r="U27" s="9">
        <f t="shared" si="10"/>
        <v>8539949388.3720932</v>
      </c>
      <c r="V27" s="9">
        <f t="shared" si="11"/>
        <v>2294148002.8188863</v>
      </c>
      <c r="W27" s="1">
        <f t="shared" si="12"/>
        <v>2294148002.8188863</v>
      </c>
      <c r="X27" s="32">
        <f>'Graph engine'!J22</f>
        <v>29</v>
      </c>
      <c r="Y27" s="1">
        <f t="shared" si="26"/>
        <v>94.707324605278956</v>
      </c>
      <c r="Z27" s="9">
        <f>$Z$22*(1+('DECISIONS INPUT'!I31/100))</f>
        <v>556818.18181818177</v>
      </c>
      <c r="AA27" s="6">
        <f t="shared" si="13"/>
        <v>19907965863.636364</v>
      </c>
      <c r="AB27" s="6">
        <f t="shared" si="14"/>
        <v>13838691232.184269</v>
      </c>
      <c r="AC27" s="6">
        <f t="shared" si="15"/>
        <v>33746657095.820633</v>
      </c>
      <c r="AD27" s="33">
        <f t="shared" si="16"/>
        <v>10000000</v>
      </c>
      <c r="AE27" s="33">
        <f t="shared" si="17"/>
        <v>6946252386.4406452</v>
      </c>
      <c r="AF27" s="33">
        <f t="shared" si="18"/>
        <v>7878070568.2588272</v>
      </c>
      <c r="AG27" s="33">
        <f t="shared" si="19"/>
        <v>18757310876.806732</v>
      </c>
      <c r="AH27" s="20">
        <f t="shared" si="20"/>
        <v>42</v>
      </c>
      <c r="AI27" s="6">
        <f t="shared" si="27"/>
        <v>11926680930.632648</v>
      </c>
      <c r="AJ27">
        <f t="shared" si="21"/>
        <v>80.957985994258706</v>
      </c>
    </row>
    <row r="28" spans="1:37" ht="15.75" customHeight="1">
      <c r="B28">
        <f t="shared" si="22"/>
        <v>6</v>
      </c>
      <c r="C28" s="4">
        <f>(P28+R28)-(P28+R28)/(1+('DECISIONS INPUT'!J23*0.01))</f>
        <v>3193345282.6862946</v>
      </c>
      <c r="D28" s="4">
        <f>(Q28*'DECISIONS INPUT'!J24/100)</f>
        <v>11626681248.84</v>
      </c>
      <c r="E28">
        <f t="shared" si="3"/>
        <v>3705006632.8815737</v>
      </c>
      <c r="F28" s="5">
        <f t="shared" si="4"/>
        <v>18525033164.407867</v>
      </c>
      <c r="G28" s="34">
        <f t="shared" si="23"/>
        <v>116.90756563827267</v>
      </c>
      <c r="H28" s="5">
        <f>$H$27*(1+'DECISIONS INPUT'!J31/100)</f>
        <v>5033195.3458181815</v>
      </c>
      <c r="I28" s="9">
        <f>('DECISIONS INPUT'!$D$3*1000000)-H28-J28</f>
        <v>2637259.1996363639</v>
      </c>
      <c r="J28" s="9">
        <f t="shared" si="24"/>
        <v>2329545.4545454546</v>
      </c>
      <c r="K28" s="9">
        <f>'DECISIONS INPUT'!J29</f>
        <v>3300</v>
      </c>
      <c r="L28" s="9">
        <f t="shared" si="5"/>
        <v>4738888387.5240307</v>
      </c>
      <c r="M28" s="9">
        <f t="shared" si="6"/>
        <v>4738888387.5240307</v>
      </c>
      <c r="N28" s="9">
        <f>I28*'DECISIONS INPUT'!J25</f>
        <v>2109807359.7090912</v>
      </c>
      <c r="O28" s="9">
        <f>J28*'DECISIONS INPUT'!J25*0.5</f>
        <v>931818181.81818187</v>
      </c>
      <c r="P28" s="9">
        <f t="shared" si="7"/>
        <v>3041625541.5272732</v>
      </c>
      <c r="Q28" s="9">
        <f t="shared" si="25"/>
        <v>16609544641.199999</v>
      </c>
      <c r="R28" s="9">
        <f>Q28*(1-('DECISIONS INPUT'!J$24*0.5/100))</f>
        <v>10796204016.779999</v>
      </c>
      <c r="S28" s="9">
        <f t="shared" si="8"/>
        <v>11626681248.84</v>
      </c>
      <c r="T28" s="9">
        <f t="shared" si="9"/>
        <v>13837829558.307272</v>
      </c>
      <c r="U28" s="9">
        <f t="shared" si="10"/>
        <v>8304772320.5999985</v>
      </c>
      <c r="V28" s="9">
        <f t="shared" si="11"/>
        <v>2339711955.0209794</v>
      </c>
      <c r="W28" s="1">
        <f t="shared" si="12"/>
        <v>2339711955.0209794</v>
      </c>
      <c r="X28" s="32">
        <f>'Graph engine'!J23</f>
        <v>30</v>
      </c>
      <c r="Y28" s="1">
        <f t="shared" si="26"/>
        <v>98.680943474774452</v>
      </c>
      <c r="Z28" s="9">
        <f>$Z$22*(1+('DECISIONS INPUT'!J31/100))</f>
        <v>556818.18181818177</v>
      </c>
      <c r="AA28" s="6">
        <f t="shared" si="13"/>
        <v>19651170182.727272</v>
      </c>
      <c r="AB28" s="6">
        <f t="shared" si="14"/>
        <v>13786144776.883837</v>
      </c>
      <c r="AC28" s="6">
        <f t="shared" si="15"/>
        <v>33437314959.611107</v>
      </c>
      <c r="AD28" s="33">
        <f t="shared" si="16"/>
        <v>10000000</v>
      </c>
      <c r="AE28" s="33">
        <f t="shared" si="17"/>
        <v>6848695747.2331219</v>
      </c>
      <c r="AF28" s="33">
        <f t="shared" si="18"/>
        <v>7780513929.0513039</v>
      </c>
      <c r="AG28" s="33">
        <f t="shared" si="19"/>
        <v>18525033164.407867</v>
      </c>
      <c r="AH28" s="20">
        <f t="shared" si="20"/>
        <v>42</v>
      </c>
      <c r="AI28" s="6">
        <f t="shared" si="27"/>
        <v>11779439222.887775</v>
      </c>
      <c r="AJ28">
        <f t="shared" si="21"/>
        <v>79.958513284062889</v>
      </c>
    </row>
    <row r="29" spans="1:37" ht="15.75" customHeight="1">
      <c r="B29">
        <f t="shared" si="22"/>
        <v>7</v>
      </c>
      <c r="C29" s="4">
        <f>(P29+R29)-(P29+R29)/(1+('DECISIONS INPUT'!K23*0.01))</f>
        <v>3242561333.6537991</v>
      </c>
      <c r="D29" s="4">
        <f>(Q29*'DECISIONS INPUT'!K24/100)</f>
        <v>11394147623.863197</v>
      </c>
      <c r="E29">
        <f t="shared" si="3"/>
        <v>3659177239.3792486</v>
      </c>
      <c r="F29" s="5">
        <f t="shared" si="4"/>
        <v>18295886196.896244</v>
      </c>
      <c r="G29" s="34">
        <f t="shared" si="23"/>
        <v>115.46146759853228</v>
      </c>
      <c r="H29" s="5">
        <f>$H$28*(1+'DECISIONS INPUT'!K31/100)</f>
        <v>4932531.4389018174</v>
      </c>
      <c r="I29" s="9">
        <f>('DECISIONS INPUT'!$D$3*1000000)-H29-J29</f>
        <v>2737923.106552728</v>
      </c>
      <c r="J29" s="9">
        <f t="shared" si="24"/>
        <v>2329545.4545454546</v>
      </c>
      <c r="K29" s="9">
        <f>'DECISIONS INPUT'!K29</f>
        <v>3300</v>
      </c>
      <c r="L29" s="9">
        <f t="shared" si="5"/>
        <v>4562115535.6360588</v>
      </c>
      <c r="M29" s="9">
        <f t="shared" si="6"/>
        <v>4562115535.6360588</v>
      </c>
      <c r="N29" s="9">
        <f>I29*'DECISIONS INPUT'!K25</f>
        <v>2190338485.2421823</v>
      </c>
      <c r="O29" s="9">
        <f>J29*'DECISIONS INPUT'!K25*0.5</f>
        <v>931818181.81818187</v>
      </c>
      <c r="P29" s="9">
        <f t="shared" si="7"/>
        <v>3122156667.0603642</v>
      </c>
      <c r="Q29" s="9">
        <f t="shared" si="25"/>
        <v>16277353748.375998</v>
      </c>
      <c r="R29" s="9">
        <f>Q29*(1-('DECISIONS INPUT'!K$24*0.5/100))</f>
        <v>10580279936.444399</v>
      </c>
      <c r="S29" s="9">
        <f t="shared" si="8"/>
        <v>11394147623.863197</v>
      </c>
      <c r="T29" s="9">
        <f t="shared" si="9"/>
        <v>13702436603.504763</v>
      </c>
      <c r="U29" s="9">
        <f t="shared" si="10"/>
        <v>8076549569.804884</v>
      </c>
      <c r="V29" s="9">
        <f t="shared" si="11"/>
        <v>2383325700.0460796</v>
      </c>
      <c r="W29" s="1">
        <f t="shared" si="12"/>
        <v>2383325700.0460796</v>
      </c>
      <c r="X29" s="32">
        <f>'Graph engine'!J24</f>
        <v>31</v>
      </c>
      <c r="Y29" s="1">
        <f t="shared" si="26"/>
        <v>102.73565660691274</v>
      </c>
      <c r="Z29" s="9">
        <f>$Z$22*(1+('DECISIONS INPUT'!K31/100))</f>
        <v>556818.18181818177</v>
      </c>
      <c r="AA29" s="6">
        <f t="shared" si="13"/>
        <v>19399510415.436363</v>
      </c>
      <c r="AB29" s="6">
        <f t="shared" si="14"/>
        <v>13733770661.260185</v>
      </c>
      <c r="AC29" s="6">
        <f t="shared" si="15"/>
        <v>33133281076.696548</v>
      </c>
      <c r="AD29" s="33">
        <f t="shared" si="16"/>
        <v>10000000</v>
      </c>
      <c r="AE29" s="33">
        <f t="shared" si="17"/>
        <v>6752454020.8782406</v>
      </c>
      <c r="AF29" s="33">
        <f t="shared" si="18"/>
        <v>7684272202.6964226</v>
      </c>
      <c r="AG29" s="33">
        <f t="shared" si="19"/>
        <v>18295886196.896244</v>
      </c>
      <c r="AH29" s="20">
        <f t="shared" si="20"/>
        <v>42</v>
      </c>
      <c r="AI29" s="6">
        <f t="shared" si="27"/>
        <v>11630589856.54118</v>
      </c>
      <c r="AJ29">
        <f t="shared" si="21"/>
        <v>78.948127830974144</v>
      </c>
    </row>
    <row r="30" spans="1:37" ht="15.75" customHeight="1">
      <c r="B30">
        <f t="shared" si="22"/>
        <v>8</v>
      </c>
      <c r="C30" s="4">
        <f>(P30+R30)-(P30+R30)/(1+('DECISIONS INPUT'!L23*0.01))</f>
        <v>3289636729.1632252</v>
      </c>
      <c r="D30" s="4">
        <f>(Q30*'DECISIONS INPUT'!L24/100)</f>
        <v>11166264671.385933</v>
      </c>
      <c r="E30">
        <f t="shared" si="3"/>
        <v>3613975350.1372895</v>
      </c>
      <c r="F30" s="5">
        <f t="shared" si="4"/>
        <v>18069876750.686447</v>
      </c>
      <c r="G30" s="34">
        <f t="shared" si="23"/>
        <v>114.03516979203731</v>
      </c>
      <c r="H30" s="5">
        <f>$H$29*(1+'DECISIONS INPUT'!L31/100)</f>
        <v>4833880.8101237807</v>
      </c>
      <c r="I30" s="9">
        <f>('DECISIONS INPUT'!$D$3*1000000)-H30-J30</f>
        <v>2836573.7353307647</v>
      </c>
      <c r="J30" s="9">
        <f t="shared" si="24"/>
        <v>2329545.4545454546</v>
      </c>
      <c r="K30" s="9">
        <f>'DECISIONS INPUT'!L29</f>
        <v>3300</v>
      </c>
      <c r="L30" s="9">
        <f t="shared" si="5"/>
        <v>4388271065.205513</v>
      </c>
      <c r="M30" s="9">
        <f t="shared" si="6"/>
        <v>4388271065.205513</v>
      </c>
      <c r="N30" s="9">
        <f>I30*'DECISIONS INPUT'!L25</f>
        <v>2269258988.2646117</v>
      </c>
      <c r="O30" s="9">
        <f>J30*'DECISIONS INPUT'!L25*0.5</f>
        <v>931818181.81818187</v>
      </c>
      <c r="P30" s="9">
        <f t="shared" si="7"/>
        <v>3201077170.0827937</v>
      </c>
      <c r="Q30" s="9">
        <f t="shared" si="25"/>
        <v>15951806673.408476</v>
      </c>
      <c r="R30" s="9">
        <f>Q30*(1-('DECISIONS INPUT'!L$24*0.5/100))</f>
        <v>10368674337.715509</v>
      </c>
      <c r="S30" s="9">
        <f t="shared" si="8"/>
        <v>11166264671.385933</v>
      </c>
      <c r="T30" s="9">
        <f t="shared" si="9"/>
        <v>13569751507.798304</v>
      </c>
      <c r="U30" s="9">
        <f t="shared" si="10"/>
        <v>7855056316.4511433</v>
      </c>
      <c r="V30" s="9">
        <f t="shared" si="11"/>
        <v>2425058462.1839347</v>
      </c>
      <c r="W30" s="1">
        <f t="shared" si="12"/>
        <v>2425058462.1839347</v>
      </c>
      <c r="X30" s="32">
        <f>'Graph engine'!J25</f>
        <v>32</v>
      </c>
      <c r="Y30" s="1">
        <f t="shared" si="26"/>
        <v>106.87311898664565</v>
      </c>
      <c r="Z30" s="9">
        <f>$Z$22*(1+('DECISIONS INPUT'!L31/100))</f>
        <v>556818.18181818177</v>
      </c>
      <c r="AA30" s="6">
        <f t="shared" si="13"/>
        <v>19152883843.491268</v>
      </c>
      <c r="AB30" s="6">
        <f t="shared" si="14"/>
        <v>13681605685.480934</v>
      </c>
      <c r="AC30" s="6">
        <f t="shared" si="15"/>
        <v>32834489528.972202</v>
      </c>
      <c r="AD30" s="33">
        <f t="shared" si="16"/>
        <v>10000000</v>
      </c>
      <c r="AE30" s="33">
        <f t="shared" si="17"/>
        <v>6657530053.4701252</v>
      </c>
      <c r="AF30" s="33">
        <f t="shared" si="18"/>
        <v>7589348235.2883072</v>
      </c>
      <c r="AG30" s="33">
        <f t="shared" si="19"/>
        <v>18069876750.686447</v>
      </c>
      <c r="AH30" s="20">
        <f t="shared" si="20"/>
        <v>41.999999999999993</v>
      </c>
      <c r="AI30" s="6">
        <f t="shared" si="27"/>
        <v>11480224341.783333</v>
      </c>
      <c r="AJ30">
        <f t="shared" si="21"/>
        <v>77.927450803678212</v>
      </c>
    </row>
    <row r="31" spans="1:37" ht="15.75" customHeight="1">
      <c r="B31">
        <f t="shared" si="22"/>
        <v>9</v>
      </c>
      <c r="C31" s="4">
        <f>(P31+R31)-(P31+R31)/(1+('DECISIONS INPUT'!M23*0.01))</f>
        <v>3334667396.70825</v>
      </c>
      <c r="D31" s="4">
        <f>(Q31*'DECISIONS INPUT'!M24/100)</f>
        <v>10942939377.958216</v>
      </c>
      <c r="E31">
        <f t="shared" si="3"/>
        <v>3569401693.6666169</v>
      </c>
      <c r="F31" s="5">
        <f t="shared" si="4"/>
        <v>17847008468.333084</v>
      </c>
      <c r="G31" s="34">
        <f t="shared" si="23"/>
        <v>112.62869520617937</v>
      </c>
      <c r="H31" s="5">
        <f>$H$30*(1+'DECISIONS INPUT'!M31/100)</f>
        <v>4737203.1939213052</v>
      </c>
      <c r="I31" s="9">
        <f>('DECISIONS INPUT'!$D$3*1000000)-H31-J31</f>
        <v>2933251.3515332402</v>
      </c>
      <c r="J31" s="9">
        <f t="shared" si="24"/>
        <v>2329545.4545454546</v>
      </c>
      <c r="K31" s="9">
        <f>'DECISIONS INPUT'!M29</f>
        <v>3300</v>
      </c>
      <c r="L31" s="9">
        <f t="shared" si="5"/>
        <v>4217324293.6551208</v>
      </c>
      <c r="M31" s="9">
        <f t="shared" si="6"/>
        <v>4217324293.6551208</v>
      </c>
      <c r="N31" s="9">
        <f>I31*'DECISIONS INPUT'!M25</f>
        <v>2346601081.2265921</v>
      </c>
      <c r="O31" s="9">
        <f>J31*'DECISIONS INPUT'!M25*0.5</f>
        <v>931818181.81818187</v>
      </c>
      <c r="P31" s="9">
        <f t="shared" si="7"/>
        <v>3278419263.0447741</v>
      </c>
      <c r="Q31" s="9">
        <f t="shared" si="25"/>
        <v>15632770539.940308</v>
      </c>
      <c r="R31" s="9">
        <f>Q31*(1-('DECISIONS INPUT'!M$24*0.5/100))</f>
        <v>10161300850.961201</v>
      </c>
      <c r="S31" s="9">
        <f t="shared" si="8"/>
        <v>10942939377.958214</v>
      </c>
      <c r="T31" s="9">
        <f t="shared" si="9"/>
        <v>13439720114.005974</v>
      </c>
      <c r="U31" s="9">
        <f t="shared" si="10"/>
        <v>7640075827.7903757</v>
      </c>
      <c r="V31" s="9">
        <f t="shared" si="11"/>
        <v>2464976889.507349</v>
      </c>
      <c r="W31" s="1">
        <f t="shared" si="12"/>
        <v>2464976889.507349</v>
      </c>
      <c r="X31" s="32">
        <f>'Graph engine'!J26</f>
        <v>33</v>
      </c>
      <c r="Y31" s="1">
        <f t="shared" si="26"/>
        <v>111.09501937412823</v>
      </c>
      <c r="Z31" s="9">
        <f>$Z$22*(1+('DECISIONS INPUT'!M31/100))</f>
        <v>556818.18181818177</v>
      </c>
      <c r="AA31" s="6">
        <f t="shared" si="13"/>
        <v>18911189802.985081</v>
      </c>
      <c r="AB31" s="6">
        <f t="shared" si="14"/>
        <v>13629684174.677963</v>
      </c>
      <c r="AC31" s="6">
        <f t="shared" si="15"/>
        <v>32540873977.663044</v>
      </c>
      <c r="AD31" s="33">
        <f t="shared" si="16"/>
        <v>10000000</v>
      </c>
      <c r="AE31" s="33">
        <f t="shared" si="17"/>
        <v>6563925374.8817129</v>
      </c>
      <c r="AF31" s="33">
        <f t="shared" si="18"/>
        <v>7495743556.6998949</v>
      </c>
      <c r="AG31" s="33">
        <f t="shared" si="19"/>
        <v>17847008468.333084</v>
      </c>
      <c r="AH31" s="20">
        <f t="shared" si="20"/>
        <v>42</v>
      </c>
      <c r="AI31" s="6">
        <f t="shared" si="27"/>
        <v>11328429303.274233</v>
      </c>
      <c r="AJ31">
        <f t="shared" si="21"/>
        <v>76.897070208012721</v>
      </c>
    </row>
    <row r="32" spans="1:37" ht="15.75" customHeight="1">
      <c r="B32">
        <f t="shared" si="22"/>
        <v>10</v>
      </c>
      <c r="C32" s="4">
        <f>(P32+R32)-(P32+R32)/(1+('DECISIONS INPUT'!N23*0.01))</f>
        <v>3410078237.8821125</v>
      </c>
      <c r="D32" s="4">
        <f>(Q32*'DECISIONS INPUT'!N24/100)</f>
        <v>10942939377.958216</v>
      </c>
      <c r="E32">
        <f t="shared" si="3"/>
        <v>3588254403.9600821</v>
      </c>
      <c r="F32" s="9">
        <f t="shared" si="4"/>
        <v>17941272019.800411</v>
      </c>
      <c r="G32" s="42">
        <f t="shared" si="23"/>
        <v>113.22357253960494</v>
      </c>
      <c r="H32" s="9">
        <f>$H$30*(1+'DECISIONS INPUT'!N31/100)</f>
        <v>4737203.1939213052</v>
      </c>
      <c r="I32" s="9">
        <f>('DECISIONS INPUT'!$D$3*1000000)-H32-J32</f>
        <v>2933251.3515332402</v>
      </c>
      <c r="J32" s="9">
        <f t="shared" si="24"/>
        <v>2329545.4545454546</v>
      </c>
      <c r="K32" s="9">
        <f>'DECISIONS INPUT'!N29</f>
        <v>3300</v>
      </c>
      <c r="L32" s="9">
        <f t="shared" si="5"/>
        <v>4256914985.2713985</v>
      </c>
      <c r="M32" s="9">
        <f t="shared" si="6"/>
        <v>4256914985.2713985</v>
      </c>
      <c r="N32" s="9">
        <f>I32*'DECISIONS INPUT'!N25</f>
        <v>2346601081.2265921</v>
      </c>
      <c r="O32" s="9">
        <f>J32*'DECISIONS INPUT'!N25*0.5</f>
        <v>931818181.81818187</v>
      </c>
      <c r="P32" s="9">
        <f t="shared" si="7"/>
        <v>3278419263.0447741</v>
      </c>
      <c r="Q32" s="9">
        <f t="shared" si="25"/>
        <v>15632770539.940308</v>
      </c>
      <c r="R32" s="9">
        <f>Q32*(1-('DECISIONS INPUT'!N$24*0.5/100))</f>
        <v>10161300850.961201</v>
      </c>
      <c r="S32" s="1"/>
      <c r="T32" s="1"/>
      <c r="U32" s="1"/>
      <c r="V32" s="1"/>
      <c r="W32" s="1"/>
      <c r="X32" s="32">
        <f>'Graph engine'!J27</f>
        <v>34</v>
      </c>
      <c r="Y32" s="3">
        <f t="shared" si="26"/>
        <v>111.09501937412823</v>
      </c>
      <c r="Z32" s="1">
        <f>$Z$22*(1+('DECISIONS INPUT'!N31/100))</f>
        <v>556818.18181818177</v>
      </c>
      <c r="AA32" s="56">
        <f t="shared" ref="AA32:AA34" si="28">Q32+P32</f>
        <v>18911189802.985081</v>
      </c>
      <c r="AB32" s="56">
        <f t="shared" ref="AB32:AB34" si="29">F32-M32</f>
        <v>13684357034.529013</v>
      </c>
      <c r="AC32" s="56">
        <f t="shared" ref="AC32:AC34" si="30">AA32+AB32</f>
        <v>32595546837.514091</v>
      </c>
      <c r="AD32" s="33">
        <f t="shared" ref="AD32:AD34" si="31">H32+I32+J32</f>
        <v>10000000</v>
      </c>
      <c r="AE32" s="33">
        <f t="shared" ref="AE32:AE34" si="32">M32+N32</f>
        <v>6603516066.4979906</v>
      </c>
      <c r="AF32" s="33">
        <f t="shared" ref="AF32:AF34" si="33">P32+M32</f>
        <v>7535334248.3161726</v>
      </c>
      <c r="AG32" s="33">
        <f t="shared" ref="AG32:AG34" si="34">F32</f>
        <v>17941272019.800411</v>
      </c>
      <c r="AH32" s="20">
        <f t="shared" ref="AH32:AH34" si="35">100*AF32/AG32</f>
        <v>42</v>
      </c>
      <c r="AI32" s="56">
        <f t="shared" si="27"/>
        <v>11195432356.398697</v>
      </c>
      <c r="AJ32">
        <f>50*AI32/$AI$22</f>
        <v>75.994290547430495</v>
      </c>
    </row>
    <row r="33" spans="2:36" ht="15.75" customHeight="1">
      <c r="B33">
        <f t="shared" si="22"/>
        <v>11</v>
      </c>
      <c r="C33" s="4">
        <f>(P33+R33)-(P33+R33)/(1+('DECISIONS INPUT'!O23*0.01))</f>
        <v>3484371881.4089565</v>
      </c>
      <c r="D33" s="4">
        <f>(Q33*'DECISIONS INPUT'!O24/100)</f>
        <v>10942939377.958216</v>
      </c>
      <c r="E33">
        <f t="shared" si="3"/>
        <v>3606827814.8417931</v>
      </c>
      <c r="F33" s="9">
        <f t="shared" si="4"/>
        <v>18034139074.208965</v>
      </c>
      <c r="G33" s="42">
        <f t="shared" si="23"/>
        <v>113.80963687549831</v>
      </c>
      <c r="H33" s="9">
        <f>$H$30*(1+'DECISIONS INPUT'!O31/100)</f>
        <v>4737203.1939213052</v>
      </c>
      <c r="I33" s="9">
        <f>('DECISIONS INPUT'!$D$3*1000000)-H33-J33</f>
        <v>2933251.3515332402</v>
      </c>
      <c r="J33" s="9">
        <f t="shared" si="24"/>
        <v>2329545.4545454546</v>
      </c>
      <c r="K33" s="9">
        <f>'DECISIONS INPUT'!O29</f>
        <v>3300</v>
      </c>
      <c r="L33" s="9">
        <f t="shared" si="5"/>
        <v>4295919148.1229916</v>
      </c>
      <c r="M33" s="9">
        <f t="shared" si="6"/>
        <v>4295919148.1229916</v>
      </c>
      <c r="N33" s="9">
        <f>I33*'DECISIONS INPUT'!O25</f>
        <v>2346601081.2265921</v>
      </c>
      <c r="O33" s="9">
        <f>J33*'DECISIONS INPUT'!O25*0.5</f>
        <v>931818181.81818187</v>
      </c>
      <c r="P33" s="9">
        <f t="shared" si="7"/>
        <v>3278419263.0447741</v>
      </c>
      <c r="Q33" s="9">
        <f t="shared" si="25"/>
        <v>15632770539.940308</v>
      </c>
      <c r="R33" s="9">
        <f>Q33*(1-('DECISIONS INPUT'!O$24*0.5/100))</f>
        <v>10161300850.961201</v>
      </c>
      <c r="S33" s="1"/>
      <c r="T33" s="1"/>
      <c r="U33" s="1"/>
      <c r="V33" s="1"/>
      <c r="W33" s="1"/>
      <c r="X33" s="32">
        <f>'Graph engine'!J28</f>
        <v>35</v>
      </c>
      <c r="Y33" s="3">
        <f t="shared" si="26"/>
        <v>111.09501937412823</v>
      </c>
      <c r="Z33" s="1">
        <f>$Z$22*(1+('DECISIONS INPUT'!O31/100))</f>
        <v>556818.18181818177</v>
      </c>
      <c r="AA33" s="56">
        <f t="shared" si="28"/>
        <v>18911189802.985081</v>
      </c>
      <c r="AB33" s="56">
        <f t="shared" si="29"/>
        <v>13738219926.085974</v>
      </c>
      <c r="AC33" s="56">
        <f t="shared" si="30"/>
        <v>32649409729.071053</v>
      </c>
      <c r="AD33" s="33">
        <f t="shared" si="31"/>
        <v>10000000</v>
      </c>
      <c r="AE33" s="33">
        <f t="shared" si="32"/>
        <v>6642520229.3495836</v>
      </c>
      <c r="AF33" s="33">
        <f t="shared" si="33"/>
        <v>7574338411.1677656</v>
      </c>
      <c r="AG33" s="33">
        <f t="shared" si="34"/>
        <v>18034139074.208965</v>
      </c>
      <c r="AH33" s="20">
        <f t="shared" si="35"/>
        <v>42.000000000000007</v>
      </c>
      <c r="AI33" s="56">
        <f t="shared" si="27"/>
        <v>11060815472.934984</v>
      </c>
      <c r="AJ33">
        <f t="shared" si="21"/>
        <v>75.080514801317051</v>
      </c>
    </row>
    <row r="34" spans="2:36" ht="15.75" customHeight="1">
      <c r="B34">
        <f t="shared" si="22"/>
        <v>12</v>
      </c>
      <c r="C34" s="4">
        <f>(P34+R34)-(P34+R34)/(1+('DECISIONS INPUT'!P23*0.01))</f>
        <v>3557572971.3545208</v>
      </c>
      <c r="D34" s="4">
        <f>(Q34*'DECISIONS INPUT'!P24/100)</f>
        <v>10942939377.958216</v>
      </c>
      <c r="E34">
        <f t="shared" si="3"/>
        <v>3625128087.3281846</v>
      </c>
      <c r="F34" s="9">
        <f t="shared" si="4"/>
        <v>18125640436.640923</v>
      </c>
      <c r="G34" s="42">
        <f t="shared" si="23"/>
        <v>114.38708261821677</v>
      </c>
      <c r="H34" s="9">
        <f>$H$30*(1+'DECISIONS INPUT'!P31/100)</f>
        <v>4737203.1939213052</v>
      </c>
      <c r="I34" s="9">
        <f>('DECISIONS INPUT'!$D$3*1000000)-H34-J34</f>
        <v>2933251.3515332402</v>
      </c>
      <c r="J34" s="9">
        <f t="shared" si="24"/>
        <v>2329545.4545454546</v>
      </c>
      <c r="K34" s="9">
        <f>'DECISIONS INPUT'!P29</f>
        <v>3300</v>
      </c>
      <c r="L34" s="9">
        <f t="shared" si="5"/>
        <v>4334349720.3444128</v>
      </c>
      <c r="M34" s="9">
        <f t="shared" si="6"/>
        <v>4334349720.3444128</v>
      </c>
      <c r="N34" s="9">
        <f>I34*'DECISIONS INPUT'!P25</f>
        <v>2346601081.2265921</v>
      </c>
      <c r="O34" s="9">
        <f>J34*'DECISIONS INPUT'!P25*0.5</f>
        <v>931818181.81818187</v>
      </c>
      <c r="P34" s="9">
        <f t="shared" si="7"/>
        <v>3278419263.0447741</v>
      </c>
      <c r="Q34" s="9">
        <f t="shared" si="25"/>
        <v>15632770539.940308</v>
      </c>
      <c r="R34" s="9">
        <f>Q34*(1-('DECISIONS INPUT'!P$24*0.5/100))</f>
        <v>10161300850.961201</v>
      </c>
      <c r="S34" s="1"/>
      <c r="T34" s="1"/>
      <c r="U34" s="1"/>
      <c r="V34" s="1"/>
      <c r="W34" s="1"/>
      <c r="X34" s="32">
        <f>'Graph engine'!J29</f>
        <v>36</v>
      </c>
      <c r="Y34" s="3">
        <f t="shared" si="26"/>
        <v>111.09501937412823</v>
      </c>
      <c r="Z34" s="1">
        <f>$Z$22*(1+('DECISIONS INPUT'!P31/100))</f>
        <v>556818.18181818177</v>
      </c>
      <c r="AA34" s="56">
        <f t="shared" si="28"/>
        <v>18911189802.985081</v>
      </c>
      <c r="AB34" s="56">
        <f t="shared" si="29"/>
        <v>13791290716.296509</v>
      </c>
      <c r="AC34" s="56">
        <f t="shared" si="30"/>
        <v>32702480519.28159</v>
      </c>
      <c r="AD34" s="33">
        <f t="shared" si="31"/>
        <v>10000000</v>
      </c>
      <c r="AE34" s="33">
        <f t="shared" si="32"/>
        <v>6680950801.5710049</v>
      </c>
      <c r="AF34" s="33">
        <f t="shared" si="33"/>
        <v>7612768983.3891869</v>
      </c>
      <c r="AG34" s="33">
        <f t="shared" si="34"/>
        <v>18125640436.640923</v>
      </c>
      <c r="AH34" s="20">
        <f t="shared" si="35"/>
        <v>42</v>
      </c>
      <c r="AI34" s="56">
        <f t="shared" si="27"/>
        <v>10924614386.778419</v>
      </c>
      <c r="AJ34">
        <f t="shared" si="21"/>
        <v>74.155985530382566</v>
      </c>
    </row>
    <row r="35" spans="2:36" ht="15.75" customHeight="1">
      <c r="F35" s="1"/>
      <c r="G35" s="1"/>
      <c r="H35" s="1"/>
      <c r="I35" s="55"/>
      <c r="J35" s="1"/>
      <c r="K35" s="9"/>
      <c r="L35" s="1"/>
      <c r="M35" s="1"/>
      <c r="N35" s="1"/>
      <c r="O35" s="9"/>
      <c r="P35" s="9"/>
      <c r="Q35" s="1"/>
      <c r="R35" s="1"/>
      <c r="S35" s="1"/>
      <c r="T35" s="1"/>
      <c r="U35" s="1"/>
      <c r="V35" s="1"/>
      <c r="W35" s="1"/>
      <c r="X35" s="1"/>
      <c r="Y35" s="3"/>
      <c r="Z35" s="1"/>
    </row>
    <row r="36" spans="2:36" ht="15.75" customHeight="1">
      <c r="F36" s="1"/>
      <c r="G36" s="1"/>
      <c r="H36" s="3"/>
      <c r="I36" s="3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2:36" ht="15.75" customHeight="1"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2:36" ht="15.75" customHeight="1">
      <c r="F38" s="1"/>
      <c r="G38" s="1"/>
      <c r="H38" s="3"/>
      <c r="I38" s="3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2:36" ht="15.75" customHeight="1"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2:36" ht="15.75" customHeight="1"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2:36" ht="15.75" customHeight="1">
      <c r="B41">
        <f t="shared" ref="B41:B51" si="36">1+B40</f>
        <v>1</v>
      </c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2:36" ht="15.75" customHeight="1">
      <c r="B42">
        <f t="shared" si="36"/>
        <v>2</v>
      </c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2:36" ht="15.75" customHeight="1">
      <c r="B43">
        <f t="shared" si="36"/>
        <v>3</v>
      </c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2:36" ht="15.75" customHeight="1">
      <c r="B44">
        <f t="shared" si="36"/>
        <v>4</v>
      </c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2:36" ht="15.75" customHeight="1">
      <c r="B45">
        <f t="shared" si="36"/>
        <v>5</v>
      </c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2:36" ht="15.75" customHeight="1">
      <c r="B46">
        <f t="shared" si="36"/>
        <v>6</v>
      </c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2:36" ht="15.75" customHeight="1">
      <c r="B47">
        <f t="shared" si="36"/>
        <v>7</v>
      </c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2:36" ht="15.75" customHeight="1">
      <c r="B48">
        <f t="shared" si="36"/>
        <v>8</v>
      </c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2:26" ht="15.75" customHeight="1">
      <c r="B49">
        <f t="shared" si="36"/>
        <v>9</v>
      </c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2:26" ht="15.75" customHeight="1">
      <c r="B50">
        <f t="shared" si="36"/>
        <v>10</v>
      </c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2:26" ht="15.75" customHeight="1">
      <c r="B51">
        <f t="shared" si="36"/>
        <v>11</v>
      </c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2:26" ht="15.75" customHeight="1"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2:26" ht="15.75" customHeight="1"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2:26" ht="15.75" customHeight="1"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2:26" ht="15.75" customHeight="1"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2:26" ht="15.75" customHeight="1"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2:26" ht="15.75" customHeight="1"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2:26" ht="15.75" customHeight="1"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2:26" ht="15.75" customHeight="1"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2:26" ht="15.75" customHeight="1"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2:26" ht="15.75" customHeight="1"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2:26" ht="15.75" customHeight="1"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2:26" ht="15.75" customHeight="1"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2:26" ht="15.75" customHeight="1"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6:26" ht="15.75" customHeight="1"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6:26" ht="15.75" customHeight="1"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6:26" ht="15.75" customHeight="1"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6:26" ht="15.75" customHeight="1"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6:26" ht="15.75" customHeight="1"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6:26" ht="15.75" customHeight="1"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6:26" ht="15.75" customHeight="1"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6:26" ht="15.75" customHeight="1"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6:26" ht="15.75" customHeight="1"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6:26" ht="15.75" customHeight="1"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6:26" ht="15.75" customHeight="1"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6:26" ht="15.75" customHeight="1"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6:26" ht="15.75" customHeight="1"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6:26" ht="15.75" customHeight="1"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6:26" ht="15.75" customHeight="1"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6:26" ht="15.75" customHeight="1"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6:26" ht="15.75" customHeight="1"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6:26" ht="15.75" customHeight="1"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6:26" ht="15.75" customHeight="1"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6:26" ht="15.75" customHeight="1"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6:26" ht="15.75" customHeight="1"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6:26" ht="15.75" customHeight="1"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6:26" ht="13"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6:26" ht="13"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6:26" ht="13"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6:26" ht="13"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6:26" ht="13"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6:26" ht="13"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6:26" ht="13"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6:26" ht="13"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6:26" ht="13"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6:26" ht="13"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6:26" ht="13"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6:26" ht="13"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6:26" ht="13"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6:26" ht="13"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6:26" ht="13"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6:26" ht="13"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6:26" ht="13"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6:26" ht="13"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6:26" ht="13"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6:26" ht="13"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6:26" ht="13"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6:26" ht="13"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6:26" ht="13"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6:26" ht="13"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6:26" ht="13"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6:26" ht="13"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6:26" ht="13"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6:26" ht="13"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6:26" ht="13"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6:26" ht="13"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6:26" ht="13"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6:26" ht="13"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6:26" ht="13"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6:26" ht="13"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6:26" ht="13"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6:26" ht="13"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6:26" ht="13"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6:26" ht="13"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6:26" ht="13"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6:26" ht="13"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6:26" ht="13"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6:26" ht="13"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6:26" ht="13"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6:26" ht="13"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6:26" ht="13"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6:26" ht="13"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6:26" ht="13"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6:26" ht="13"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6:26" ht="13"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6:26" ht="13"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6:26" ht="13"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6:26" ht="13"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6:26" ht="13"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6:26" ht="13"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6:26" ht="13"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6:26" ht="13"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6:26" ht="13"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6:26" ht="13"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6:26" ht="13"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6:26" ht="13"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6:26" ht="13"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6:26" ht="13"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6:26" ht="13"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6:26" ht="13"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6:26" ht="13"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6:26" ht="13"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6:26" ht="13"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6:26" ht="13"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6:26" ht="13"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6:26" ht="13"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6:26" ht="13"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6:26" ht="13"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6:26" ht="13"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6:26" ht="13"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6:26" ht="13"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6:26" ht="13"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6:26" ht="13"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6:26" ht="13"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6:26" ht="13"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6:26" ht="13"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6:26" ht="13"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6:26" ht="13"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6:26" ht="13"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6:26" ht="13"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6:26" ht="13"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6:26" ht="13"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6:26" ht="13"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6:26" ht="13"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6:26" ht="13"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6:26" ht="13"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6:26" ht="13"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6:26" ht="13"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6:26" ht="13"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6:26" ht="13"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6:26" ht="13"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6:26" ht="13"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6:26" ht="13"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6:26" ht="13"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6:26" ht="13"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6:26" ht="13"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6:26" ht="13"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6:26" ht="13"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6:26" ht="13"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6:26" ht="13"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6:26" ht="13"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6:26" ht="13"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6:26" ht="13"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6:26" ht="13"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6:26" ht="13"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6:26" ht="13"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6:26" ht="13"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6:26" ht="13"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6:26" ht="13"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6:26" ht="13"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6:26" ht="13"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6:26" ht="13"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6:26" ht="13"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6:26" ht="13"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6:26" ht="13"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6:26" ht="13"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6:26" ht="13"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6:26" ht="13"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6:26" ht="13"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6:26" ht="13"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6:26" ht="13"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6:26" ht="13"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6:26" ht="13"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6:26" ht="13"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6:26" ht="13"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6:26" ht="13"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6:26" ht="13"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6:26" ht="13"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6:26" ht="13"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6:26" ht="13"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6:26" ht="13"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6:26" ht="13"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6:26" ht="13"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6:26" ht="13"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6:26" ht="13"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6:26" ht="13"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6:26" ht="13"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6:26" ht="13"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6:26" ht="13"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6:26" ht="13"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6:26" ht="13"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6:26" ht="13"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6:26" ht="13"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6:26" ht="13"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6:26" ht="13"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6:26" ht="13"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6:26" ht="13"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6:26" ht="13"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6:26" ht="13"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6:26" ht="13"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6:26" ht="13"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6:26" ht="13"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6:26" ht="13"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6:26" ht="13"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6:26" ht="13"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6:26" ht="13"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6:26" ht="13"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6:26" ht="13"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6:26" ht="13"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6:26" ht="13"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6:26" ht="13"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6:26" ht="13"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6:26" ht="13"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6:26" ht="13"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6:26" ht="13"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6:26" ht="13"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6:26" ht="13"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6:26" ht="13"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6:26" ht="13"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6:26" ht="13"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6:26" ht="13"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6:26" ht="13"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6:26" ht="13"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6:26" ht="13"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6:26" ht="13"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6:26" ht="13"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6:26" ht="13"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6:26" ht="13"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6:26" ht="13"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6:26" ht="13"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6:26" ht="13"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6:26" ht="13"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6:26" ht="13"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6:26" ht="13"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6:26" ht="13"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6:26" ht="13"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6:26" ht="13"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6:26" ht="13"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6:26" ht="13"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6:26" ht="13"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6:26" ht="13"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6:26" ht="13"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6:26" ht="13"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6:26" ht="13"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6:26" ht="13"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6:26" ht="13"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6:26" ht="13"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6:26" ht="13"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6:26" ht="13"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6:26" ht="13"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6:26" ht="13"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6:26" ht="13"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6:26" ht="13"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6:26" ht="13"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6:26" ht="13"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6:26" ht="13"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6:26" ht="13"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6:26" ht="13"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6:26" ht="13"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6:26" ht="13"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6:26" ht="13"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6:26" ht="13"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6:26" ht="13"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6:26" ht="13"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6:26" ht="13"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6:26" ht="13"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6:26" ht="13"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6:26" ht="13"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6:26" ht="13"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6:26" ht="13"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6:26" ht="13"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6:26" ht="13"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6:26" ht="13"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6:26" ht="13"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6:26" ht="13"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6:26" ht="13"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6:26" ht="13"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6:26" ht="13"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6:26" ht="13"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6:26" ht="13"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6:26" ht="13"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6:26" ht="13"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6:26" ht="13"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6:26" ht="13"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6:26" ht="13"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6:26" ht="13"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6:26" ht="13"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6:26" ht="13"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6:26" ht="13"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6:26" ht="13"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6:26" ht="13"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6:26" ht="13"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6:26" ht="13"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6:26" ht="13"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6:26" ht="13"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6:26" ht="13"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6:26" ht="13"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6:26" ht="13"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6:26" ht="13"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6:26" ht="13"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6:26" ht="13"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6:26" ht="13"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6:26" ht="13"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6:26" ht="13"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6:26" ht="13"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6:26" ht="13"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6:26" ht="13"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6:26" ht="13"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6:26" ht="13"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6:26" ht="13"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6:26" ht="13"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6:26" ht="13"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6:26" ht="13"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6:26" ht="13"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6:26" ht="13"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6:26" ht="13"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6:26" ht="13"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6:26" ht="13"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6:26" ht="13"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6:26" ht="13"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6:26" ht="13"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6:26" ht="13"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6:26" ht="13"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6:26" ht="13"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6:26" ht="13"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6:26" ht="13"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6:26" ht="13"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6:26" ht="13"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6:26" ht="13"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6:26" ht="13"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6:26" ht="13"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6:26" ht="13"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6:26" ht="13"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6:26" ht="13"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6:26" ht="13"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6:26" ht="13"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6:26" ht="13"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6:26" ht="13"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6:26" ht="13"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6:26" ht="13"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6:26" ht="13"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6:26" ht="13"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6:26" ht="13"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6:26" ht="13"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6:26" ht="13"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6:26" ht="13"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6:26" ht="13"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6:26" ht="13"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6:26" ht="13"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6:26" ht="13"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6:26" ht="13"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6:26" ht="13"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6:26" ht="13"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6:26" ht="13"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6:26" ht="13"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6:26" ht="13"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6:26" ht="13"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6:26" ht="13"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6:26" ht="13"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6:26" ht="13"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6:26" ht="13"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6:26" ht="13"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6:26" ht="13"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6:26" ht="13"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6:26" ht="13"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6:26" ht="13"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6:26" ht="13"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6:26" ht="13"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6:26" ht="13"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6:26" ht="13"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6:26" ht="13"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6:26" ht="13"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6:26" ht="13"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6:26" ht="13"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6:26" ht="13"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6:26" ht="13"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6:26" ht="13"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6:26" ht="13"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6:26" ht="13"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6:26" ht="13"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6:26" ht="13"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6:26" ht="13"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6:26" ht="13"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6:26" ht="13"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6:26" ht="13"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6:26" ht="13"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6:26" ht="13"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6:26" ht="13"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6:26" ht="13"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6:26" ht="13"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6:26" ht="13"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6:26" ht="13"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6:26" ht="13"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6:26" ht="13"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6:26" ht="13"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6:26" ht="13"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6:26" ht="13"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6:26" ht="13"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6:26" ht="13"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6:26" ht="13"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6:26" ht="13"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6:26" ht="13"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6:26" ht="13"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6:26" ht="13"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6:26" ht="13"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6:26" ht="13"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6:26" ht="13"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6:26" ht="13"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6:26" ht="13"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6:26" ht="13"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6:26" ht="13"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6:26" ht="13"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6:26" ht="13"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6:26" ht="13"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6:26" ht="13"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6:26" ht="13"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6:26" ht="13"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6:26" ht="13"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6:26" ht="13"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6:26" ht="13"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6:26" ht="13"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6:26" ht="13"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6:26" ht="13"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6:26" ht="13"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6:26" ht="13"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6:26" ht="13"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6:26" ht="13"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6:26" ht="13"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6:26" ht="13"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6:26" ht="13"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6:26" ht="13"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6:26" ht="13"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6:26" ht="13"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6:26" ht="13"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6:26" ht="13"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6:26" ht="13"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6:26" ht="13"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6:26" ht="13"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6:26" ht="13"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6:26" ht="13"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6:26" ht="13"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6:26" ht="13"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6:26" ht="13"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6:26" ht="13"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6:26" ht="13"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6:26" ht="13"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6:26" ht="13"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6:26" ht="13"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6:26" ht="13"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6:26" ht="13"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6:26" ht="13"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6:26" ht="13"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6:26" ht="13"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6:26" ht="13"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6:26" ht="13"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6:26" ht="13"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6:26" ht="13"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6:26" ht="13"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6:26" ht="13"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6:26" ht="13"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6:26" ht="13"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6:26" ht="13"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6:26" ht="13"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6:26" ht="13"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6:26" ht="13"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6:26" ht="13"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6:26" ht="13"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6:26" ht="13"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6:26" ht="13"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6:26" ht="13"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6:26" ht="13"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6:26" ht="13"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6:26" ht="13"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6:26" ht="13"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6:26" ht="13"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6:26" ht="13"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6:26" ht="13"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6:26" ht="13"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6:26" ht="13"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6:26" ht="13"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6:26" ht="13"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6:26" ht="13"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6:26" ht="13"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6:26" ht="13"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6:26" ht="13"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6:26" ht="13"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6:26" ht="13"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6:26" ht="13"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6:26" ht="13"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6:26" ht="13"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6:26" ht="13"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6:26" ht="13"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6:26" ht="13"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6:26" ht="13"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6:26" ht="13"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6:26" ht="13"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6:26" ht="13"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6:26" ht="13"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6:26" ht="13"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6:26" ht="13"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6:26" ht="13"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6:26" ht="13"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6:26" ht="13"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6:26" ht="13"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6:26" ht="13"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6:26" ht="13"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6:26" ht="13"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6:26" ht="13"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6:26" ht="13"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6:26" ht="13"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6:26" ht="13"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6:26" ht="13"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6:26" ht="13"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6:26" ht="13"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6:26" ht="13"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6:26" ht="13"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6:26" ht="13"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6:26" ht="13"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6:26" ht="13"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6:26" ht="13"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6:26" ht="13"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6:26" ht="13"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6:26" ht="13"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6:26" ht="13"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6:26" ht="13"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6:26" ht="13"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6:26" ht="13"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6:26" ht="13"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6:26" ht="13"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6:26" ht="13"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6:26" ht="13"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6:26" ht="13"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6:26" ht="13"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6:26" ht="13"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6:26" ht="13"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6:26" ht="13"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6:26" ht="13"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6:26" ht="13"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6:26" ht="13"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6:26" ht="13"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6:26" ht="13"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6:26" ht="13"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6:26" ht="13"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6:26" ht="13"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6:26" ht="13"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6:26" ht="13"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6:26" ht="13"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6:26" ht="13"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6:26" ht="13"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6:26" ht="13"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6:26" ht="13"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6:26" ht="13"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6:26" ht="13"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6:26" ht="13"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6:26" ht="13"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6:26" ht="13"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6:26" ht="13"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6:26" ht="13"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6:26" ht="13"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6:26" ht="13"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6:26" ht="13"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6:26" ht="13"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6:26" ht="13"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6:26" ht="13"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6:26" ht="13"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6:26" ht="13"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6:26" ht="13"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6:26" ht="13"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6:26" ht="13"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6:26" ht="13"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6:26" ht="13"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6:26" ht="13"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6:26" ht="13"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6:26" ht="13"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6:26" ht="13"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6:26" ht="13"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6:26" ht="13"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6:26" ht="13"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6:26" ht="13"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6:26" ht="13"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6:26" ht="13"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6:26" ht="13"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6:26" ht="13"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6:26" ht="13"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6:26" ht="13"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6:26" ht="13"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6:26" ht="13"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6:26" ht="13"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6:26" ht="13"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6:26" ht="13"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6:26" ht="13"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6:26" ht="13"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6:26" ht="13"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6:26" ht="13"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6:26" ht="13"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6:26" ht="13"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6:26" ht="13"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6:26" ht="13"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6:26" ht="13"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6:26" ht="13"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6:26" ht="13"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6:26" ht="13"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6:26" ht="13"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6:26" ht="13"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6:26" ht="13"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6:26" ht="13"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6:26" ht="13"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6:26" ht="13"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6:26" ht="13"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6:26" ht="13"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6:26" ht="13"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6:26" ht="13"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6:26" ht="13"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6:26" ht="13"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6:26" ht="13"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6:26" ht="13"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6:26" ht="13"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6:26" ht="13"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6:26" ht="13"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6:26" ht="13"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6:26" ht="13"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6:26" ht="13"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6:26" ht="13"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6:26" ht="13"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6:26" ht="13"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6:26" ht="13"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6:26" ht="13"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6:26" ht="13"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6:26" ht="13"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6:26" ht="13"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6:26" ht="13"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6:26" ht="13"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6:26" ht="13"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6:26" ht="13"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6:26" ht="13"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6:26" ht="13"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6:26" ht="13"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6:26" ht="13"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6:26" ht="13"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6:26" ht="13"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6:26" ht="13"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6:26" ht="13"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6:26" ht="13"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6:26" ht="13"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6:26" ht="13"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6:26" ht="13"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6:26" ht="13"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6:26" ht="13"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6:26" ht="13"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6:26" ht="13"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6:26" ht="13"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6:26" ht="13"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6:26" ht="13"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6:26" ht="13"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6:26" ht="13"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6:26" ht="13"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6:26" ht="13"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6:26" ht="13"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6:26" ht="13"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6:26" ht="13"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6:26" ht="13"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6:26" ht="13"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6:26" ht="13"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6:26" ht="13"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6:26" ht="13"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6:26" ht="13"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6:26" ht="13"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6:26" ht="13"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6:26" ht="13"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6:26" ht="13"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6:26" ht="13"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6:26" ht="13"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6:26" ht="13"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6:26" ht="13"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6:26" ht="13"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6:26" ht="13"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6:26" ht="13"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6:26" ht="13"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6:26" ht="13"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6:26" ht="13"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6:26" ht="13"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6:26" ht="13"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6:26" ht="13"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6:26" ht="13"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6:26" ht="13"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6:26" ht="13"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6:26" ht="13"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6:26" ht="13"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6:26" ht="13"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6:26" ht="13"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6:26" ht="13"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6:26" ht="13"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6:26" ht="13"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6:26" ht="13"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6:26" ht="13"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6:26" ht="13"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6:26" ht="13"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6:26" ht="13"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6:26" ht="13"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6:26" ht="13"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6:26" ht="13"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6:26" ht="13"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6:26" ht="13"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6:26" ht="13"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6:26" ht="13"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6:26" ht="13"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6:26" ht="13"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6:26" ht="13"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6:26" ht="13"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6:26" ht="13"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6:26" ht="13"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6:26" ht="13"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6:26" ht="13"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6:26" ht="13"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6:26" ht="13"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6:26" ht="13"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6:26" ht="13"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6:26" ht="13"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6:26" ht="13"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6:26" ht="13"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6:26" ht="13"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6:26" ht="13"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6:26" ht="13"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6:26" ht="13"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6:26" ht="13"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6:26" ht="13"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6:26" ht="13"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6:26" ht="13"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6:26" ht="13"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6:26" ht="13"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6:26" ht="13"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6:26" ht="13"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6:26" ht="13"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6:26" ht="13"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6:26" ht="13"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6:26" ht="13"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6:26" ht="13"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6:26" ht="13"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6:26" ht="13"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6:26" ht="13"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6:26" ht="13"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6:26" ht="13"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6:26" ht="13"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6:26" ht="13"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6:26" ht="13"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6:26" ht="13"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6:26" ht="13"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6:26" ht="13"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6:26" ht="13"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6:26" ht="13"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6:26" ht="13"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6:26" ht="13"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6:26" ht="13"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6:26" ht="13"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6:26" ht="13"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6:26" ht="13"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6:26" ht="13"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6:26" ht="13"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6:26" ht="13"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6:26" ht="13"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6:26" ht="13"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6:26" ht="13"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6:26" ht="13"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6:26" ht="13"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6:26" ht="13"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6:26" ht="13"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6:26" ht="13"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6:26" ht="13"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6:26" ht="13"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6:26" ht="13"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6:26" ht="13"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6:26" ht="13"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6:26" ht="13"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6:26" ht="13"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6:26" ht="13"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6:26" ht="13"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6:26" ht="13"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6:26" ht="13"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6:26" ht="13"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6:26" ht="13"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6:26" ht="13"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6:26" ht="13"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6:26" ht="13"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6:26" ht="13"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6:26" ht="13"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6:26" ht="13"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6:26" ht="13"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6:26" ht="13"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6:26" ht="13"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6:26" ht="13"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6:26" ht="13"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6:26" ht="13"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6:26" ht="13"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6:26" ht="13"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6:26" ht="13"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6:26" ht="13"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6:26" ht="13"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6:26" ht="13"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6:26" ht="13"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6:26" ht="13"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6:26" ht="13"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6:26" ht="13"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6:26" ht="13"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6:26" ht="13"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6:26" ht="13"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6:26" ht="13"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6:26" ht="13"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6:26" ht="13"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6:26" ht="13"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6:26" ht="13"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6:26" ht="13"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6:26" ht="13"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6:26" ht="13"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6:26" ht="13"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6:26" ht="13"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6:26" ht="13"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6:26" ht="13"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6:26" ht="13"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6:26" ht="13"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6:26" ht="13"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6:26" ht="13"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6:26" ht="13"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6:26" ht="13"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6:26" ht="13"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6:26" ht="13"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6:26" ht="13"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6:26" ht="13"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6:26" ht="13"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6:26" ht="13"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6:26" ht="13"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6:26" ht="13"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6:26" ht="13"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6:26" ht="13"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6:26" ht="13"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6:26" ht="13"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6:26" ht="13"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6:26" ht="13"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6:26" ht="13"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6:26" ht="13"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6:26" ht="13"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6:26" ht="13"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6:26" ht="13"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6:26" ht="13"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6:26" ht="13"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6:26" ht="13"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6:26" ht="13"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6:26" ht="13"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6:26" ht="13"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6:26" ht="13"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6:26" ht="13"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6:26" ht="13"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6:26" ht="13"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6:26" ht="13"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6:26" ht="13"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6:26" ht="13"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6:26" ht="13"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6:26" ht="13"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6:26" ht="13"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6:26" ht="13"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6:26" ht="13"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6:26" ht="13"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6:26" ht="13"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6:26" ht="13"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6:26" ht="13"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6:26" ht="13"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6:26" ht="13"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6:26" ht="13"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6:26" ht="13"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6:26" ht="13"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6:26" ht="13"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6:26" ht="13"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6:26" ht="13"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6:26" ht="13"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6:26" ht="13"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6:26" ht="13"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6:26" ht="13"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6:26" ht="13"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6:26" ht="13"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6:26" ht="13"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6:26" ht="13"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6:26" ht="13"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6:26" ht="13"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6:26" ht="13"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6:26" ht="13"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6:26" ht="13"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6:26" ht="13"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6:26" ht="13"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6:26" ht="13"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6:26" ht="13"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6:26" ht="13"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6:26" ht="13"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6:26" ht="13"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6:26" ht="13"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6:26" ht="13"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6:26" ht="13"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6:26" ht="13"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6:26" ht="13"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6:26" ht="13"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6:26" ht="13"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6:26" ht="13"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6:26" ht="13"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6:26" ht="13"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6:26" ht="13"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6:26" ht="13"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6:26" ht="13"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6:26" ht="13"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6:26" ht="13"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6:26" ht="13"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6:26" ht="13"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6:26" ht="13"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6:26" ht="13"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6:26" ht="13"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6:26" ht="13"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6:26" ht="13"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6:26" ht="13"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6:26" ht="13"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6:26" ht="13"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6:26" ht="13"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6:26" ht="13"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6:26" ht="13"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6:26" ht="13"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6:26" ht="13"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6:26" ht="13"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6:26" ht="13"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6:26" ht="13"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6:26" ht="13"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6:26" ht="13"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6:26" ht="13"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6:26" ht="13"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6:26" ht="13"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6:26" ht="13"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6:26" ht="13"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6:26" ht="13"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6:26" ht="13"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6:26" ht="13"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6:26" ht="13"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6:26" ht="13"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6:26" ht="13"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6:26" ht="13"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6:26" ht="13"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6:26" ht="13"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6:26" ht="13"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6:26" ht="13"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6:26" ht="13"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6:26" ht="13"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6:26" ht="13"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6:26" ht="13"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6:26" ht="13"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6:26" ht="13"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6:26" ht="13"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6:26" ht="13"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6:26" ht="13"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6:26" ht="13"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6:26" ht="13"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6:26" ht="13"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6:26" ht="13"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6:26" ht="13"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6:26" ht="13"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6:26" ht="13"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6:26" ht="13"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E51"/>
  <sheetViews>
    <sheetView workbookViewId="0">
      <selection activeCell="S18" sqref="S18"/>
    </sheetView>
  </sheetViews>
  <sheetFormatPr baseColWidth="10" defaultColWidth="14.5" defaultRowHeight="15.75" customHeight="1"/>
  <cols>
    <col min="1" max="1" width="8.5" customWidth="1"/>
    <col min="2" max="2" width="13.6640625" customWidth="1"/>
    <col min="3" max="3" width="8.5" customWidth="1"/>
    <col min="4" max="4" width="9.5" customWidth="1"/>
    <col min="5" max="5" width="8.5" customWidth="1"/>
    <col min="6" max="6" width="15.6640625" customWidth="1"/>
    <col min="7" max="7" width="15.1640625" customWidth="1"/>
    <col min="8" max="11" width="8.5" customWidth="1"/>
    <col min="12" max="12" width="12.6640625" customWidth="1"/>
    <col min="13" max="13" width="8.5" customWidth="1"/>
    <col min="14" max="14" width="12.1640625" customWidth="1"/>
    <col min="15" max="16" width="8.5" customWidth="1"/>
    <col min="17" max="17" width="7.1640625" customWidth="1"/>
    <col min="18" max="18" width="8.5" customWidth="1"/>
    <col min="19" max="19" width="11.83203125" customWidth="1"/>
    <col min="20" max="20" width="12.83203125" customWidth="1"/>
    <col min="21" max="21" width="14.1640625" customWidth="1"/>
    <col min="22" max="22" width="11.5" customWidth="1"/>
    <col min="23" max="25" width="8.5" customWidth="1"/>
    <col min="26" max="26" width="12.33203125" customWidth="1"/>
    <col min="27" max="27" width="15.6640625" customWidth="1"/>
    <col min="28" max="29" width="8.5" customWidth="1"/>
  </cols>
  <sheetData>
    <row r="1" spans="1:29" ht="15.75" customHeight="1">
      <c r="A1" t="str">
        <f t="shared" ref="A1:B1" si="0">A16</f>
        <v>ROUND</v>
      </c>
      <c r="B1" t="str">
        <f t="shared" si="0"/>
        <v xml:space="preserve"> Average Wage start=50/100</v>
      </c>
      <c r="C1" s="78" t="s">
        <v>151</v>
      </c>
      <c r="D1" s="2" t="s">
        <v>72</v>
      </c>
      <c r="E1" s="29" t="s">
        <v>73</v>
      </c>
      <c r="F1" s="2" t="s">
        <v>74</v>
      </c>
      <c r="G1" t="str">
        <f t="shared" ref="G1:G14" si="1">C16</f>
        <v>UBI compared to average wage</v>
      </c>
      <c r="H1" t="str">
        <f t="shared" ref="H1:H14" si="2">J16</f>
        <v>VAT Rate in %</v>
      </c>
      <c r="I1" t="str">
        <f t="shared" ref="I1:I11" si="3">K16</f>
        <v>Tax on work%</v>
      </c>
      <c r="J1" s="2" t="s">
        <v>75</v>
      </c>
      <c r="K1" s="2" t="s">
        <v>76</v>
      </c>
      <c r="L1" s="78" t="s">
        <v>74</v>
      </c>
      <c r="M1" s="78" t="s">
        <v>72</v>
      </c>
      <c r="N1" s="78" t="s">
        <v>152</v>
      </c>
      <c r="O1" s="78" t="s">
        <v>153</v>
      </c>
      <c r="P1" s="78" t="s">
        <v>154</v>
      </c>
    </row>
    <row r="2" spans="1:29" ht="15.75" customHeight="1">
      <c r="A2">
        <f t="shared" ref="A2:B2" si="4">A17</f>
        <v>0</v>
      </c>
      <c r="B2" s="30">
        <f t="shared" si="4"/>
        <v>50</v>
      </c>
      <c r="C2">
        <f>50*'DECISIONS INPUT'!D35/'DECISIONS INPUT'!D29</f>
        <v>11.666666666666666</v>
      </c>
      <c r="D2">
        <f t="shared" ref="D2:D14" si="5">B2*(100-(K17/2))*0.01</f>
        <v>35</v>
      </c>
      <c r="E2">
        <f t="shared" ref="E2:E14" si="6">D2/((100+J17)*0.01)</f>
        <v>28</v>
      </c>
      <c r="F2">
        <f t="shared" ref="F2:F14" si="7">G2/((100+J17)*0.01)</f>
        <v>1.3333333333333335</v>
      </c>
      <c r="G2" s="30">
        <f t="shared" si="1"/>
        <v>1.6666666666666667</v>
      </c>
      <c r="H2" s="31">
        <f t="shared" si="2"/>
        <v>25</v>
      </c>
      <c r="I2" s="31">
        <f t="shared" si="3"/>
        <v>60</v>
      </c>
      <c r="J2">
        <f>100*Engine!U22/Engine!$U$22</f>
        <v>100</v>
      </c>
      <c r="K2">
        <f>IF(Engine!$V$22=0,"",(100*Engine!V22/Engine!$V$22))</f>
        <v>100</v>
      </c>
      <c r="L2" s="79">
        <f>C17/(1+(H2*0.01))</f>
        <v>1.3333333333333335</v>
      </c>
      <c r="M2">
        <f>B2*(100-'DECISIONS INPUT'!D24)/100</f>
        <v>20</v>
      </c>
      <c r="N2">
        <f>M2/(1+(H2*0.01))</f>
        <v>16</v>
      </c>
      <c r="O2">
        <f>C2*(100-(K17/2))*0.01</f>
        <v>8.1666666666666661</v>
      </c>
      <c r="P2">
        <f>O2/(1+(H2*0.01))</f>
        <v>6.5333333333333332</v>
      </c>
      <c r="W2" s="2" t="s">
        <v>77</v>
      </c>
    </row>
    <row r="3" spans="1:29" ht="15.75" customHeight="1">
      <c r="A3">
        <f t="shared" ref="A3:B3" si="8">A18</f>
        <v>1</v>
      </c>
      <c r="B3" s="30">
        <f t="shared" si="8"/>
        <v>55</v>
      </c>
      <c r="C3">
        <f>C2</f>
        <v>11.666666666666666</v>
      </c>
      <c r="D3">
        <f t="shared" si="5"/>
        <v>35.75</v>
      </c>
      <c r="E3">
        <f t="shared" si="6"/>
        <v>28.6</v>
      </c>
      <c r="F3">
        <f t="shared" si="7"/>
        <v>2.666666666666667</v>
      </c>
      <c r="G3" s="30">
        <f t="shared" si="1"/>
        <v>3.3333333333333335</v>
      </c>
      <c r="H3" s="31">
        <f t="shared" si="2"/>
        <v>25</v>
      </c>
      <c r="I3" s="31">
        <f t="shared" si="3"/>
        <v>70</v>
      </c>
      <c r="J3">
        <f>100*Engine!U23/Engine!$U$22</f>
        <v>100.10000105705602</v>
      </c>
      <c r="K3">
        <f>100*Engine!V23/Engine!$V$23</f>
        <v>100</v>
      </c>
      <c r="L3" s="79">
        <f t="shared" ref="L3:L14" si="9">C18/(1+(H3*0.01))</f>
        <v>2.666666666666667</v>
      </c>
      <c r="M3">
        <f>B3*(100-'DECISIONS INPUT'!E24)/100</f>
        <v>16.5</v>
      </c>
      <c r="N3">
        <f t="shared" ref="N3:N14" si="10">M3/(1+(H3*0.01))</f>
        <v>13.2</v>
      </c>
      <c r="O3">
        <f t="shared" ref="O3:O14" si="11">C3*(100-(K18/2))*0.01</f>
        <v>7.583333333333333</v>
      </c>
      <c r="P3">
        <f t="shared" ref="P3:P14" si="12">O3/(1+(H3*0.01))</f>
        <v>6.0666666666666664</v>
      </c>
      <c r="W3" s="2" t="s">
        <v>78</v>
      </c>
    </row>
    <row r="4" spans="1:29" ht="15.75" customHeight="1">
      <c r="A4">
        <f t="shared" ref="A4:B4" si="13">A19</f>
        <v>2</v>
      </c>
      <c r="B4">
        <f t="shared" si="13"/>
        <v>55</v>
      </c>
      <c r="C4">
        <f t="shared" ref="C4:C14" si="14">C3</f>
        <v>11.666666666666666</v>
      </c>
      <c r="D4">
        <f t="shared" si="5"/>
        <v>35.75</v>
      </c>
      <c r="E4">
        <f t="shared" si="6"/>
        <v>28.373015873015873</v>
      </c>
      <c r="F4">
        <f t="shared" si="7"/>
        <v>5.2910052910052912</v>
      </c>
      <c r="G4" s="30">
        <f t="shared" si="1"/>
        <v>6.666666666666667</v>
      </c>
      <c r="H4" s="31">
        <f t="shared" si="2"/>
        <v>26</v>
      </c>
      <c r="I4" s="31">
        <f t="shared" si="3"/>
        <v>70</v>
      </c>
      <c r="J4">
        <f>100*Engine!U24/Engine!$U$22</f>
        <v>97.319445472137801</v>
      </c>
      <c r="K4">
        <f>100*Engine!V24/Engine!$V$23</f>
        <v>205.17598343685304</v>
      </c>
      <c r="L4" s="79">
        <f t="shared" si="9"/>
        <v>5.2910052910052912</v>
      </c>
      <c r="M4">
        <f>B4*(100-'DECISIONS INPUT'!F24)/100</f>
        <v>16.5</v>
      </c>
      <c r="N4">
        <f t="shared" si="10"/>
        <v>13.095238095238095</v>
      </c>
      <c r="O4">
        <f t="shared" si="11"/>
        <v>7.583333333333333</v>
      </c>
      <c r="P4">
        <f t="shared" si="12"/>
        <v>6.0185185185185182</v>
      </c>
      <c r="R4" s="2">
        <f>1+Q4</f>
        <v>1</v>
      </c>
    </row>
    <row r="5" spans="1:29" ht="15.75" customHeight="1">
      <c r="A5">
        <f t="shared" ref="A5:B5" si="15">A20</f>
        <v>3</v>
      </c>
      <c r="B5">
        <f t="shared" si="15"/>
        <v>55</v>
      </c>
      <c r="C5">
        <f t="shared" si="14"/>
        <v>11.666666666666666</v>
      </c>
      <c r="D5">
        <f t="shared" si="5"/>
        <v>35.75</v>
      </c>
      <c r="E5">
        <f t="shared" si="6"/>
        <v>28.149606299212596</v>
      </c>
      <c r="F5">
        <f t="shared" si="7"/>
        <v>10.498687664041995</v>
      </c>
      <c r="G5" s="30">
        <f t="shared" si="1"/>
        <v>13.333333333333334</v>
      </c>
      <c r="H5" s="31">
        <f t="shared" si="2"/>
        <v>27</v>
      </c>
      <c r="I5" s="31">
        <f t="shared" si="3"/>
        <v>70</v>
      </c>
      <c r="J5">
        <f>100*Engine!U25/Engine!$U$22</f>
        <v>94.622087613382476</v>
      </c>
      <c r="K5">
        <f>100*Engine!V25/Engine!$V$23</f>
        <v>420.27250941458402</v>
      </c>
      <c r="L5" s="79">
        <f t="shared" si="9"/>
        <v>10.498687664041995</v>
      </c>
      <c r="M5">
        <f>B5*(100-'DECISIONS INPUT'!G24)/100</f>
        <v>16.5</v>
      </c>
      <c r="N5">
        <f t="shared" si="10"/>
        <v>12.992125984251969</v>
      </c>
      <c r="O5">
        <f t="shared" si="11"/>
        <v>7.583333333333333</v>
      </c>
      <c r="P5">
        <f t="shared" si="12"/>
        <v>5.971128608923884</v>
      </c>
    </row>
    <row r="6" spans="1:29" ht="15.75" customHeight="1">
      <c r="A6">
        <f t="shared" ref="A6:B6" si="16">A21</f>
        <v>4</v>
      </c>
      <c r="B6">
        <f t="shared" si="16"/>
        <v>55</v>
      </c>
      <c r="C6">
        <f t="shared" si="14"/>
        <v>11.666666666666666</v>
      </c>
      <c r="D6">
        <f t="shared" si="5"/>
        <v>35.75</v>
      </c>
      <c r="E6">
        <f t="shared" si="6"/>
        <v>27.9296875</v>
      </c>
      <c r="F6">
        <f t="shared" si="7"/>
        <v>10.416666666666666</v>
      </c>
      <c r="G6" s="30">
        <f t="shared" si="1"/>
        <v>13.333333333333334</v>
      </c>
      <c r="H6" s="31">
        <f t="shared" si="2"/>
        <v>28</v>
      </c>
      <c r="I6" s="31">
        <f t="shared" si="3"/>
        <v>70</v>
      </c>
      <c r="J6">
        <f>100*Engine!U26/Engine!$U$22</f>
        <v>92.005195502824876</v>
      </c>
      <c r="K6">
        <f>100*Engine!V26/Engine!$V$23</f>
        <v>429.7770652173914</v>
      </c>
      <c r="L6" s="79">
        <f t="shared" si="9"/>
        <v>10.416666666666666</v>
      </c>
      <c r="M6">
        <f>B6*(100-'DECISIONS INPUT'!H24)/100</f>
        <v>16.5</v>
      </c>
      <c r="N6">
        <f t="shared" si="10"/>
        <v>12.890625</v>
      </c>
      <c r="O6">
        <f t="shared" si="11"/>
        <v>7.583333333333333</v>
      </c>
      <c r="P6">
        <f t="shared" si="12"/>
        <v>5.9244791666666661</v>
      </c>
    </row>
    <row r="7" spans="1:29" ht="15.75" customHeight="1">
      <c r="A7">
        <f t="shared" ref="A7:B7" si="17">A22</f>
        <v>5</v>
      </c>
      <c r="B7">
        <f t="shared" si="17"/>
        <v>55</v>
      </c>
      <c r="C7">
        <f t="shared" si="14"/>
        <v>11.666666666666666</v>
      </c>
      <c r="D7">
        <f t="shared" si="5"/>
        <v>35.75</v>
      </c>
      <c r="E7">
        <f t="shared" si="6"/>
        <v>27.713178294573641</v>
      </c>
      <c r="F7">
        <f t="shared" si="7"/>
        <v>10.335917312661499</v>
      </c>
      <c r="G7" s="30">
        <f t="shared" si="1"/>
        <v>13.333333333333334</v>
      </c>
      <c r="H7" s="31">
        <f t="shared" si="2"/>
        <v>29</v>
      </c>
      <c r="I7" s="31">
        <f t="shared" si="3"/>
        <v>70</v>
      </c>
      <c r="J7">
        <f>100*Engine!U27/Engine!$U$22</f>
        <v>89.466137394374826</v>
      </c>
      <c r="K7">
        <f>100*Engine!V27/Engine!$V$23</f>
        <v>438.88048749578701</v>
      </c>
      <c r="L7" s="79">
        <f t="shared" si="9"/>
        <v>10.335917312661499</v>
      </c>
      <c r="M7">
        <f>B7*(100-'DECISIONS INPUT'!I24)/100</f>
        <v>16.5</v>
      </c>
      <c r="N7">
        <f t="shared" si="10"/>
        <v>12.790697674418604</v>
      </c>
      <c r="O7">
        <f t="shared" si="11"/>
        <v>7.583333333333333</v>
      </c>
      <c r="P7">
        <f t="shared" si="12"/>
        <v>5.8785529715762266</v>
      </c>
    </row>
    <row r="8" spans="1:29" ht="15.75" customHeight="1">
      <c r="A8">
        <f t="shared" ref="A8:B8" si="18">A23</f>
        <v>6</v>
      </c>
      <c r="B8">
        <f t="shared" si="18"/>
        <v>55</v>
      </c>
      <c r="C8">
        <f t="shared" si="14"/>
        <v>11.666666666666666</v>
      </c>
      <c r="D8">
        <f t="shared" si="5"/>
        <v>35.75</v>
      </c>
      <c r="E8">
        <f t="shared" si="6"/>
        <v>27.5</v>
      </c>
      <c r="F8">
        <f t="shared" si="7"/>
        <v>10.256410256410257</v>
      </c>
      <c r="G8" s="30">
        <f t="shared" si="1"/>
        <v>13.333333333333334</v>
      </c>
      <c r="H8" s="31">
        <f t="shared" si="2"/>
        <v>30</v>
      </c>
      <c r="I8" s="31">
        <f t="shared" si="3"/>
        <v>70</v>
      </c>
      <c r="J8">
        <f>100*Engine!U28/Engine!$U$22</f>
        <v>87.0023776107451</v>
      </c>
      <c r="K8">
        <f>100*Engine!V28/Engine!$V$23</f>
        <v>447.59706965618739</v>
      </c>
      <c r="L8" s="79">
        <f t="shared" si="9"/>
        <v>10.256410256410257</v>
      </c>
      <c r="M8">
        <f>B8*(100-'DECISIONS INPUT'!J24)/100</f>
        <v>16.5</v>
      </c>
      <c r="N8">
        <f t="shared" si="10"/>
        <v>12.692307692307692</v>
      </c>
      <c r="O8">
        <f t="shared" si="11"/>
        <v>7.583333333333333</v>
      </c>
      <c r="P8">
        <f t="shared" si="12"/>
        <v>5.833333333333333</v>
      </c>
    </row>
    <row r="9" spans="1:29" ht="15.75" customHeight="1">
      <c r="A9">
        <f t="shared" ref="A9:B9" si="19">A24</f>
        <v>7</v>
      </c>
      <c r="B9">
        <f t="shared" si="19"/>
        <v>55</v>
      </c>
      <c r="C9">
        <f t="shared" si="14"/>
        <v>11.666666666666666</v>
      </c>
      <c r="D9">
        <f t="shared" si="5"/>
        <v>35.75</v>
      </c>
      <c r="E9">
        <f t="shared" si="6"/>
        <v>27.29007633587786</v>
      </c>
      <c r="F9">
        <f t="shared" si="7"/>
        <v>10.178117048346056</v>
      </c>
      <c r="G9" s="30">
        <f t="shared" si="1"/>
        <v>13.333333333333334</v>
      </c>
      <c r="H9" s="31">
        <f t="shared" si="2"/>
        <v>31</v>
      </c>
      <c r="I9" s="31">
        <f t="shared" si="3"/>
        <v>70</v>
      </c>
      <c r="J9">
        <f>100*Engine!U29/Engine!$U$22</f>
        <v>84.611472577167376</v>
      </c>
      <c r="K9">
        <f>100*Engine!V29/Engine!$V$23</f>
        <v>455.94056870446747</v>
      </c>
      <c r="L9" s="79">
        <f t="shared" si="9"/>
        <v>10.178117048346056</v>
      </c>
      <c r="M9">
        <f>B9*(100-'DECISIONS INPUT'!K24)/100</f>
        <v>16.5</v>
      </c>
      <c r="N9">
        <f t="shared" si="10"/>
        <v>12.595419847328245</v>
      </c>
      <c r="O9">
        <f t="shared" si="11"/>
        <v>7.583333333333333</v>
      </c>
      <c r="P9">
        <f t="shared" si="12"/>
        <v>5.7888040712468189</v>
      </c>
    </row>
    <row r="10" spans="1:29" ht="15.75" customHeight="1">
      <c r="A10">
        <f t="shared" ref="A10:B10" si="20">A25</f>
        <v>8</v>
      </c>
      <c r="B10">
        <f t="shared" si="20"/>
        <v>55</v>
      </c>
      <c r="C10">
        <f t="shared" si="14"/>
        <v>11.666666666666666</v>
      </c>
      <c r="D10">
        <f t="shared" si="5"/>
        <v>35.75</v>
      </c>
      <c r="E10">
        <f t="shared" si="6"/>
        <v>27.083333333333332</v>
      </c>
      <c r="F10">
        <f t="shared" si="7"/>
        <v>10.1010101010101</v>
      </c>
      <c r="G10" s="30">
        <f t="shared" si="1"/>
        <v>13.333333333333334</v>
      </c>
      <c r="H10" s="31">
        <f t="shared" si="2"/>
        <v>32</v>
      </c>
      <c r="I10" s="31">
        <f t="shared" si="3"/>
        <v>70</v>
      </c>
      <c r="J10">
        <f>100*Engine!U30/Engine!$U$22</f>
        <v>82.291067041338991</v>
      </c>
      <c r="K10">
        <f>100*Engine!V30/Engine!$V$23</f>
        <v>463.92422754823099</v>
      </c>
      <c r="L10" s="79">
        <f t="shared" si="9"/>
        <v>10.1010101010101</v>
      </c>
      <c r="M10">
        <f>B10*(100-'DECISIONS INPUT'!L24)/100</f>
        <v>16.5</v>
      </c>
      <c r="N10">
        <f t="shared" si="10"/>
        <v>12.5</v>
      </c>
      <c r="O10">
        <f t="shared" si="11"/>
        <v>7.583333333333333</v>
      </c>
      <c r="P10">
        <f t="shared" si="12"/>
        <v>5.7449494949494948</v>
      </c>
    </row>
    <row r="11" spans="1:29" ht="15.75" customHeight="1">
      <c r="A11">
        <f t="shared" ref="A11:B11" si="21">A26</f>
        <v>9</v>
      </c>
      <c r="B11">
        <f t="shared" si="21"/>
        <v>55</v>
      </c>
      <c r="C11">
        <f t="shared" si="14"/>
        <v>11.666666666666666</v>
      </c>
      <c r="D11">
        <f t="shared" si="5"/>
        <v>35.75</v>
      </c>
      <c r="E11">
        <f t="shared" si="6"/>
        <v>26.8796992481203</v>
      </c>
      <c r="F11">
        <f t="shared" si="7"/>
        <v>10.025062656641603</v>
      </c>
      <c r="G11" s="30">
        <f t="shared" si="1"/>
        <v>13.333333333333334</v>
      </c>
      <c r="H11" s="31">
        <f t="shared" si="2"/>
        <v>33</v>
      </c>
      <c r="I11" s="31">
        <f t="shared" si="3"/>
        <v>70</v>
      </c>
      <c r="J11">
        <f>100*Engine!U31/Engine!$U$22</f>
        <v>80.038890469681292</v>
      </c>
      <c r="K11">
        <f>100*Engine!V31/Engine!$V$23</f>
        <v>471.56079625357984</v>
      </c>
      <c r="L11" s="79">
        <f t="shared" si="9"/>
        <v>10.025062656641603</v>
      </c>
      <c r="M11">
        <f>B11*(100-'DECISIONS INPUT'!M24)/100</f>
        <v>16.5</v>
      </c>
      <c r="N11">
        <f t="shared" si="10"/>
        <v>12.406015037593985</v>
      </c>
      <c r="O11">
        <f t="shared" si="11"/>
        <v>7.583333333333333</v>
      </c>
      <c r="P11">
        <f t="shared" si="12"/>
        <v>5.7017543859649118</v>
      </c>
    </row>
    <row r="12" spans="1:29" ht="15.75" customHeight="1">
      <c r="A12">
        <f t="shared" ref="A12:B12" si="22">A27</f>
        <v>10</v>
      </c>
      <c r="B12" s="30">
        <f t="shared" si="22"/>
        <v>55</v>
      </c>
      <c r="C12">
        <f t="shared" si="14"/>
        <v>11.666666666666666</v>
      </c>
      <c r="D12">
        <f t="shared" si="5"/>
        <v>35.75</v>
      </c>
      <c r="E12">
        <f>D12/((100+J27)*0.01)</f>
        <v>26.67910447761194</v>
      </c>
      <c r="F12">
        <f>G12/((100+J27)*0.01)</f>
        <v>9.9502487562189046</v>
      </c>
      <c r="G12" s="30">
        <f t="shared" si="1"/>
        <v>13.333333333333334</v>
      </c>
      <c r="H12" s="31">
        <f t="shared" si="2"/>
        <v>34</v>
      </c>
      <c r="J12">
        <f>100*Engine!U32/Engine!$U$22</f>
        <v>0</v>
      </c>
      <c r="K12">
        <f>100*Engine!V32/Engine!$V$23</f>
        <v>0</v>
      </c>
      <c r="L12" s="79">
        <f>C27/(1+(H12*0.01))</f>
        <v>9.9502487562189046</v>
      </c>
      <c r="M12">
        <f>B12*(100-'DECISIONS INPUT'!N24)/100</f>
        <v>16.5</v>
      </c>
      <c r="N12">
        <f t="shared" si="10"/>
        <v>12.313432835820894</v>
      </c>
      <c r="O12">
        <f t="shared" si="11"/>
        <v>7.583333333333333</v>
      </c>
      <c r="P12">
        <f t="shared" si="12"/>
        <v>5.6592039800995018</v>
      </c>
    </row>
    <row r="13" spans="1:29" ht="15.75" customHeight="1">
      <c r="A13">
        <f t="shared" ref="A13:B13" si="23">A28</f>
        <v>11</v>
      </c>
      <c r="B13" s="30">
        <f t="shared" si="23"/>
        <v>55</v>
      </c>
      <c r="C13">
        <f t="shared" si="14"/>
        <v>11.666666666666666</v>
      </c>
      <c r="D13">
        <f t="shared" si="5"/>
        <v>35.75</v>
      </c>
      <c r="E13">
        <f t="shared" si="6"/>
        <v>26.481481481481481</v>
      </c>
      <c r="F13">
        <f t="shared" si="7"/>
        <v>9.8765432098765427</v>
      </c>
      <c r="G13" s="30">
        <f t="shared" si="1"/>
        <v>13.333333333333334</v>
      </c>
      <c r="H13" s="31">
        <f t="shared" si="2"/>
        <v>35</v>
      </c>
      <c r="J13">
        <f>100*Engine!U33/Engine!$U$22</f>
        <v>0</v>
      </c>
      <c r="K13">
        <f>100*Engine!V33/Engine!$V$23</f>
        <v>0</v>
      </c>
      <c r="L13" s="79">
        <f t="shared" si="9"/>
        <v>9.8765432098765427</v>
      </c>
      <c r="M13">
        <f>B13*(100-'DECISIONS INPUT'!O24)/100</f>
        <v>16.5</v>
      </c>
      <c r="N13">
        <f t="shared" si="10"/>
        <v>12.222222222222221</v>
      </c>
      <c r="O13">
        <f t="shared" si="11"/>
        <v>7.583333333333333</v>
      </c>
      <c r="P13">
        <f t="shared" si="12"/>
        <v>5.6172839506172831</v>
      </c>
    </row>
    <row r="14" spans="1:29" ht="15.75" customHeight="1">
      <c r="A14">
        <f t="shared" ref="A14:B14" si="24">A29</f>
        <v>12</v>
      </c>
      <c r="B14" s="30">
        <f t="shared" si="24"/>
        <v>55</v>
      </c>
      <c r="C14">
        <f t="shared" si="14"/>
        <v>11.666666666666666</v>
      </c>
      <c r="D14">
        <f t="shared" si="5"/>
        <v>35.75</v>
      </c>
      <c r="E14">
        <f t="shared" si="6"/>
        <v>26.286764705882351</v>
      </c>
      <c r="F14">
        <f t="shared" si="7"/>
        <v>9.8039215686274499</v>
      </c>
      <c r="G14" s="30">
        <f t="shared" si="1"/>
        <v>13.333333333333334</v>
      </c>
      <c r="H14" s="31">
        <f t="shared" si="2"/>
        <v>36</v>
      </c>
      <c r="J14">
        <f>100*Engine!U34/Engine!$U$22</f>
        <v>0</v>
      </c>
      <c r="K14">
        <f>100*Engine!V34/Engine!$V$23</f>
        <v>0</v>
      </c>
      <c r="L14" s="79">
        <f t="shared" si="9"/>
        <v>9.8039215686274517</v>
      </c>
      <c r="M14">
        <f>B14*(100-'DECISIONS INPUT'!P24)/100</f>
        <v>16.5</v>
      </c>
      <c r="N14">
        <f t="shared" si="10"/>
        <v>12.132352941176471</v>
      </c>
      <c r="O14">
        <f t="shared" si="11"/>
        <v>7.583333333333333</v>
      </c>
      <c r="P14">
        <f t="shared" si="12"/>
        <v>5.5759803921568629</v>
      </c>
      <c r="U14" s="2" t="s">
        <v>56</v>
      </c>
      <c r="V14" s="2" t="s">
        <v>79</v>
      </c>
      <c r="W14" s="2" t="s">
        <v>96</v>
      </c>
      <c r="X14" s="2" t="s">
        <v>80</v>
      </c>
    </row>
    <row r="15" spans="1:29" ht="15.75" customHeight="1">
      <c r="A15">
        <f>'DECISIONS INPUT'!D9</f>
        <v>3000</v>
      </c>
      <c r="B15" s="2">
        <v>1</v>
      </c>
      <c r="C15" s="2" t="s">
        <v>81</v>
      </c>
      <c r="H15" s="2" t="s">
        <v>82</v>
      </c>
      <c r="R15" s="2" t="s">
        <v>83</v>
      </c>
      <c r="U15" s="2">
        <v>42</v>
      </c>
      <c r="V15" s="2">
        <v>27</v>
      </c>
      <c r="W15" s="2">
        <v>10</v>
      </c>
      <c r="X15">
        <f>100-U15-V15-W15</f>
        <v>21</v>
      </c>
      <c r="Y15">
        <f>V15+W15+X15</f>
        <v>58</v>
      </c>
      <c r="Z15">
        <f>SUM(U15:X15)</f>
        <v>100</v>
      </c>
      <c r="AB15" s="2" t="s">
        <v>84</v>
      </c>
    </row>
    <row r="16" spans="1:29" ht="15.75" customHeight="1">
      <c r="A16" s="24" t="s">
        <v>48</v>
      </c>
      <c r="B16" s="35" t="s">
        <v>85</v>
      </c>
      <c r="C16" s="24" t="s">
        <v>86</v>
      </c>
      <c r="D16" s="36" t="s">
        <v>87</v>
      </c>
      <c r="E16" s="24" t="s">
        <v>43</v>
      </c>
      <c r="F16" s="24" t="s">
        <v>88</v>
      </c>
      <c r="H16" s="22" t="str">
        <f t="shared" ref="H16:H29" si="25">A16</f>
        <v>ROUND</v>
      </c>
      <c r="I16" s="23" t="s">
        <v>89</v>
      </c>
      <c r="J16" s="23" t="s">
        <v>90</v>
      </c>
      <c r="K16" s="23" t="s">
        <v>91</v>
      </c>
      <c r="L16" s="23" t="s">
        <v>92</v>
      </c>
      <c r="M16" s="23" t="str">
        <f t="shared" ref="M16:M26" si="26">F16</f>
        <v>Workforce % of total population</v>
      </c>
      <c r="N16" s="23" t="s">
        <v>93</v>
      </c>
      <c r="O16" s="22" t="str">
        <f t="shared" ref="O16:O29" si="27">H16</f>
        <v>ROUND</v>
      </c>
      <c r="P16" s="37" t="s">
        <v>94</v>
      </c>
      <c r="Q16" s="23" t="s">
        <v>95</v>
      </c>
      <c r="R16" s="22" t="str">
        <f t="shared" ref="R16:R29" si="28">H16</f>
        <v>ROUND</v>
      </c>
      <c r="S16" s="23" t="str">
        <f>Engine!M21</f>
        <v>Social costs</v>
      </c>
      <c r="T16" s="23" t="str">
        <f>Engine!N21</f>
        <v>UBI Older</v>
      </c>
      <c r="U16" s="23" t="str">
        <f>Engine!O21</f>
        <v>UBI young</v>
      </c>
      <c r="V16" s="38" t="s">
        <v>79</v>
      </c>
      <c r="W16" s="38" t="s">
        <v>96</v>
      </c>
      <c r="X16" s="29" t="s">
        <v>80</v>
      </c>
      <c r="Y16" s="23" t="s">
        <v>97</v>
      </c>
      <c r="Z16" s="23" t="s">
        <v>98</v>
      </c>
      <c r="AA16" s="23" t="s">
        <v>99</v>
      </c>
      <c r="AB16" s="23"/>
      <c r="AC16" s="23"/>
    </row>
    <row r="17" spans="1:28" ht="15.75" customHeight="1">
      <c r="A17" s="3">
        <v>0</v>
      </c>
      <c r="B17" s="39">
        <f>50*'DECISIONS INPUT'!D29/'DECISIONS INPUT'!D29</f>
        <v>50</v>
      </c>
      <c r="C17" s="40">
        <f>B17*'DECISIONS INPUT'!D25/'DECISIONS INPUT'!D29</f>
        <v>1.6666666666666667</v>
      </c>
      <c r="D17" s="40">
        <f>B17*'DECISIONS INPUT'!$F$10</f>
        <v>11.666666666666666</v>
      </c>
      <c r="E17" s="41">
        <f>Engine!Y22</f>
        <v>76</v>
      </c>
      <c r="F17" s="42">
        <f>100*Engine!H22/Engine!C3</f>
        <v>56.818181818181813</v>
      </c>
      <c r="G17" s="43"/>
      <c r="H17" s="43">
        <f t="shared" si="25"/>
        <v>0</v>
      </c>
      <c r="I17" s="44">
        <v>100</v>
      </c>
      <c r="J17" s="45">
        <f>'DECISIONS INPUT'!D23</f>
        <v>25</v>
      </c>
      <c r="K17" s="45">
        <f>'DECISIONS INPUT'!D24</f>
        <v>60</v>
      </c>
      <c r="L17" s="46">
        <f t="shared" ref="L17:L26" si="29">100*(T17+U17)/Y17</f>
        <v>1.9900497721541548</v>
      </c>
      <c r="M17" s="47">
        <f t="shared" si="26"/>
        <v>56.818181818181813</v>
      </c>
      <c r="N17" s="44">
        <f t="shared" ref="N17:N26" si="30">I17*( 42-L17)/100</f>
        <v>40.009950227845849</v>
      </c>
      <c r="O17" s="43">
        <f t="shared" si="27"/>
        <v>0</v>
      </c>
      <c r="P17" s="48">
        <v>100</v>
      </c>
      <c r="Q17" s="31">
        <f>'DECISIONS INPUT'!D33</f>
        <v>50</v>
      </c>
      <c r="R17" s="22">
        <f t="shared" si="28"/>
        <v>0</v>
      </c>
      <c r="S17" s="49">
        <f>Engine!M22</f>
        <v>6339928907.3427277</v>
      </c>
      <c r="T17" s="49">
        <f>Engine!N22</f>
        <v>198863636.36363637</v>
      </c>
      <c r="U17" s="49">
        <f>Engine!O22</f>
        <v>116477272.72727273</v>
      </c>
      <c r="V17">
        <f t="shared" ref="V17:V26" si="31">(Y17-(S17+T17+U17))*$V$15/$Y$15</f>
        <v>4278387739.1359105</v>
      </c>
      <c r="W17">
        <f t="shared" ref="W17:W26" si="32">(Y17-(S17+T17+U17))*$W$15/$Y$15</f>
        <v>1584588051.5318189</v>
      </c>
      <c r="X17">
        <f t="shared" ref="X17:X26" si="33">(Y17-(S17+T17+U17))*$X$15/$Y$15</f>
        <v>3327634908.2168188</v>
      </c>
      <c r="Y17" s="6">
        <f>Engine!F22</f>
        <v>15845880515.318184</v>
      </c>
      <c r="Z17" s="6">
        <f t="shared" ref="Z17:Z26" si="34">SUM(S17:X17)</f>
        <v>15845880515.318184</v>
      </c>
      <c r="AA17">
        <f t="shared" ref="AA17:AA26" si="35">V17+W17+X17</f>
        <v>9190610698.8845482</v>
      </c>
      <c r="AB17" s="6">
        <f>Engine!F22+Engine!R22</f>
        <v>27777698571.136368</v>
      </c>
    </row>
    <row r="18" spans="1:28" ht="15.75" customHeight="1">
      <c r="A18" s="3">
        <v>1</v>
      </c>
      <c r="B18" s="50">
        <f>50*'DECISIONS INPUT'!E29/'DECISIONS INPUT'!D29</f>
        <v>55</v>
      </c>
      <c r="C18" s="40">
        <f>B18*'DECISIONS INPUT'!E25/'DECISIONS INPUT'!E29</f>
        <v>3.3333333333333335</v>
      </c>
      <c r="D18" s="40">
        <f>B18*'DECISIONS INPUT'!$F$10</f>
        <v>12.833333333333334</v>
      </c>
      <c r="E18" s="40">
        <f>Engine!Y23</f>
        <v>79.591836734693871</v>
      </c>
      <c r="F18" s="42">
        <f>100*Engine!H23/Engine!$C$3</f>
        <v>55.681818181818187</v>
      </c>
      <c r="G18" s="43"/>
      <c r="H18" s="43">
        <f t="shared" si="25"/>
        <v>1</v>
      </c>
      <c r="I18" s="51">
        <f>IF(Engine!G23=0,"",Engine!G23)</f>
        <v>121.34014739124258</v>
      </c>
      <c r="J18" s="45">
        <f>'DECISIONS INPUT'!E23</f>
        <v>25</v>
      </c>
      <c r="K18" s="45">
        <f>'DECISIONS INPUT'!E24</f>
        <v>70</v>
      </c>
      <c r="L18" s="46">
        <f t="shared" si="29"/>
        <v>3.3983200478719868</v>
      </c>
      <c r="M18" s="47">
        <f t="shared" si="26"/>
        <v>55.681818181818187</v>
      </c>
      <c r="N18" s="44">
        <f t="shared" si="30"/>
        <v>46.839335349407875</v>
      </c>
      <c r="O18" s="43">
        <f t="shared" si="27"/>
        <v>1</v>
      </c>
      <c r="P18" s="52">
        <f t="shared" ref="P18:P29" si="36">P17*0.98</f>
        <v>98</v>
      </c>
      <c r="Q18" s="31">
        <f>'DECISIONS INPUT'!E33</f>
        <v>80</v>
      </c>
      <c r="R18" s="22">
        <f t="shared" si="28"/>
        <v>1</v>
      </c>
      <c r="S18" s="49">
        <f>Engine!M23</f>
        <v>7422105113.636364</v>
      </c>
      <c r="T18" s="49">
        <f>Engine!N23</f>
        <v>420454545.45454544</v>
      </c>
      <c r="U18" s="49">
        <f>Engine!O23</f>
        <v>232954545.45454547</v>
      </c>
      <c r="V18">
        <f t="shared" si="31"/>
        <v>5191401988.636363</v>
      </c>
      <c r="W18">
        <f t="shared" si="32"/>
        <v>1922741477.2727273</v>
      </c>
      <c r="X18">
        <f t="shared" si="33"/>
        <v>4037757102.272727</v>
      </c>
      <c r="Y18" s="6">
        <f>Engine!F23</f>
        <v>19227414772.727272</v>
      </c>
      <c r="Z18" s="6">
        <f t="shared" si="34"/>
        <v>19227414772.727272</v>
      </c>
      <c r="AA18">
        <f t="shared" si="35"/>
        <v>11151900568.181816</v>
      </c>
    </row>
    <row r="19" spans="1:28" ht="15.75" customHeight="1">
      <c r="A19" s="3">
        <v>2</v>
      </c>
      <c r="B19" s="3">
        <f>50*'DECISIONS INPUT'!F29/'DECISIONS INPUT'!$D$29</f>
        <v>55</v>
      </c>
      <c r="C19" s="40">
        <f>B19*'DECISIONS INPUT'!F25/'DECISIONS INPUT'!F29</f>
        <v>6.666666666666667</v>
      </c>
      <c r="D19" s="40">
        <f>B19*'DECISIONS INPUT'!$F$10</f>
        <v>12.833333333333334</v>
      </c>
      <c r="E19" s="40">
        <f>Engine!Y24</f>
        <v>83.256976259891715</v>
      </c>
      <c r="F19" s="42">
        <f>100*Engine!H24/Engine!$C$3</f>
        <v>54.568181818181813</v>
      </c>
      <c r="G19" s="43"/>
      <c r="H19" s="43">
        <f t="shared" si="25"/>
        <v>2</v>
      </c>
      <c r="I19" s="51">
        <f>IF(Engine!G24=0,"",Engine!G24)</f>
        <v>120.6890527930081</v>
      </c>
      <c r="J19" s="45">
        <f>'DECISIONS INPUT'!F23</f>
        <v>26</v>
      </c>
      <c r="K19" s="45">
        <f>'DECISIONS INPUT'!F24</f>
        <v>70</v>
      </c>
      <c r="L19" s="46">
        <f t="shared" si="29"/>
        <v>7.0662333105238133</v>
      </c>
      <c r="M19" s="47">
        <f t="shared" si="26"/>
        <v>54.568181818181813</v>
      </c>
      <c r="N19" s="44">
        <f t="shared" si="30"/>
        <v>42.16123212244819</v>
      </c>
      <c r="O19" s="43">
        <f t="shared" si="27"/>
        <v>2</v>
      </c>
      <c r="P19" s="53">
        <f t="shared" si="36"/>
        <v>96.039999999999992</v>
      </c>
      <c r="Q19" s="31">
        <f>'DECISIONS INPUT'!F33</f>
        <v>80</v>
      </c>
      <c r="R19" s="22">
        <f t="shared" si="28"/>
        <v>2</v>
      </c>
      <c r="S19" s="49">
        <f>Engine!M24</f>
        <v>6680818465.90909</v>
      </c>
      <c r="T19" s="49">
        <f>Engine!N24</f>
        <v>885454545.4545455</v>
      </c>
      <c r="U19" s="49">
        <f>Engine!O24</f>
        <v>465909090.90909094</v>
      </c>
      <c r="V19">
        <f t="shared" si="31"/>
        <v>5163545637.1753235</v>
      </c>
      <c r="W19">
        <f t="shared" si="32"/>
        <v>1912424310.0649345</v>
      </c>
      <c r="X19">
        <f t="shared" si="33"/>
        <v>4016091051.136363</v>
      </c>
      <c r="Y19" s="6">
        <f>Engine!F24</f>
        <v>19124243100.649349</v>
      </c>
      <c r="Z19" s="6">
        <f t="shared" si="34"/>
        <v>19124243100.649349</v>
      </c>
      <c r="AA19">
        <f t="shared" si="35"/>
        <v>11092060998.376621</v>
      </c>
    </row>
    <row r="20" spans="1:28" ht="15.75" customHeight="1">
      <c r="A20" s="3">
        <v>3</v>
      </c>
      <c r="B20" s="3">
        <f>50*'DECISIONS INPUT'!G29/'DECISIONS INPUT'!$D$29</f>
        <v>55</v>
      </c>
      <c r="C20" s="40">
        <f>B20*'DECISIONS INPUT'!G25/'DECISIONS INPUT'!G29</f>
        <v>13.333333333333334</v>
      </c>
      <c r="D20" s="40">
        <f>B20*'DECISIONS INPUT'!$F$10</f>
        <v>12.833333333333334</v>
      </c>
      <c r="E20" s="40">
        <f>Engine!Y25</f>
        <v>86.996914550909906</v>
      </c>
      <c r="F20" s="42">
        <f>100*Engine!H25/Engine!$C$3</f>
        <v>53.476818181818182</v>
      </c>
      <c r="G20" s="43"/>
      <c r="H20" s="43">
        <f t="shared" si="25"/>
        <v>3</v>
      </c>
      <c r="I20" s="51">
        <f>IF(Engine!G25=0,"",Engine!G25)</f>
        <v>121.36412642517625</v>
      </c>
      <c r="J20" s="45">
        <f>'DECISIONS INPUT'!G23</f>
        <v>27</v>
      </c>
      <c r="K20" s="45">
        <f>'DECISIONS INPUT'!G24</f>
        <v>70</v>
      </c>
      <c r="L20" s="46">
        <f t="shared" si="29"/>
        <v>14.507853204899567</v>
      </c>
      <c r="M20" s="47">
        <f t="shared" si="26"/>
        <v>53.476818181818182</v>
      </c>
      <c r="N20" s="44">
        <f t="shared" si="30"/>
        <v>33.36560379340073</v>
      </c>
      <c r="O20" s="43">
        <f t="shared" si="27"/>
        <v>3</v>
      </c>
      <c r="P20" s="53">
        <f t="shared" si="36"/>
        <v>94.119199999999992</v>
      </c>
      <c r="Q20" s="54">
        <f>'DECISIONS INPUT'!G33</f>
        <v>80</v>
      </c>
      <c r="R20" s="22">
        <f t="shared" si="28"/>
        <v>3</v>
      </c>
      <c r="S20" s="49">
        <f>Engine!M25</f>
        <v>5287073710.3167496</v>
      </c>
      <c r="T20" s="49">
        <f>Engine!N25</f>
        <v>1858218181.8181818</v>
      </c>
      <c r="U20" s="49">
        <f>Engine!O25</f>
        <v>931818181.81818187</v>
      </c>
      <c r="V20">
        <f t="shared" si="31"/>
        <v>5192427904.684145</v>
      </c>
      <c r="W20">
        <f t="shared" si="32"/>
        <v>1923121446.1793129</v>
      </c>
      <c r="X20">
        <f t="shared" si="33"/>
        <v>4038555036.9765573</v>
      </c>
      <c r="Y20" s="6">
        <f>Engine!F25</f>
        <v>19231214461.793129</v>
      </c>
      <c r="Z20" s="6">
        <f t="shared" si="34"/>
        <v>19231214461.793129</v>
      </c>
      <c r="AA20">
        <f t="shared" si="35"/>
        <v>11154104387.840015</v>
      </c>
    </row>
    <row r="21" spans="1:28" ht="15.75" customHeight="1">
      <c r="A21" s="3">
        <v>4</v>
      </c>
      <c r="B21" s="3">
        <f>50*'DECISIONS INPUT'!H29/'DECISIONS INPUT'!$D$29</f>
        <v>55</v>
      </c>
      <c r="C21" s="40">
        <f>B21*'DECISIONS INPUT'!H25/'DECISIONS INPUT'!H29</f>
        <v>13.333333333333334</v>
      </c>
      <c r="D21" s="40">
        <f>B21*'DECISIONS INPUT'!$F$10</f>
        <v>12.833333333333334</v>
      </c>
      <c r="E21" s="40">
        <f>Engine!Y26</f>
        <v>90.813178113173379</v>
      </c>
      <c r="F21" s="42">
        <f>100*Engine!H26/Engine!$C$3</f>
        <v>52.407281818181822</v>
      </c>
      <c r="G21" s="43"/>
      <c r="H21" s="43">
        <f t="shared" si="25"/>
        <v>4</v>
      </c>
      <c r="I21" s="51">
        <f>IF(Engine!G26=0,"",Engine!G26)</f>
        <v>119.85897022875612</v>
      </c>
      <c r="J21" s="45">
        <f>'DECISIONS INPUT'!H23</f>
        <v>28</v>
      </c>
      <c r="K21" s="45">
        <f>'DECISIONS INPUT'!H24</f>
        <v>70</v>
      </c>
      <c r="L21" s="46">
        <f t="shared" si="29"/>
        <v>15.140542831631539</v>
      </c>
      <c r="M21" s="47">
        <f t="shared" si="26"/>
        <v>52.407281818181822</v>
      </c>
      <c r="N21" s="44">
        <f t="shared" si="30"/>
        <v>32.193468771040259</v>
      </c>
      <c r="O21" s="43">
        <f t="shared" si="27"/>
        <v>4</v>
      </c>
      <c r="P21" s="53">
        <f t="shared" si="36"/>
        <v>92.23681599999999</v>
      </c>
      <c r="Q21" s="54">
        <f>'DECISIONS INPUT'!H33</f>
        <v>80</v>
      </c>
      <c r="R21" s="22">
        <f t="shared" si="28"/>
        <v>4</v>
      </c>
      <c r="S21" s="49">
        <f>Engine!M26</f>
        <v>5101338595.1953125</v>
      </c>
      <c r="T21" s="49">
        <f>Engine!N26</f>
        <v>1943781090.909091</v>
      </c>
      <c r="U21" s="49">
        <f>Engine!O26</f>
        <v>931818181.81818187</v>
      </c>
      <c r="V21">
        <f t="shared" si="31"/>
        <v>5128031486.5216618</v>
      </c>
      <c r="W21">
        <f t="shared" si="32"/>
        <v>1899270920.933949</v>
      </c>
      <c r="X21">
        <f t="shared" si="33"/>
        <v>3988468933.9612932</v>
      </c>
      <c r="Y21" s="6">
        <f>Engine!F26</f>
        <v>18992709209.339489</v>
      </c>
      <c r="Z21" s="6">
        <f t="shared" si="34"/>
        <v>18992709209.339489</v>
      </c>
      <c r="AA21">
        <f t="shared" si="35"/>
        <v>11015771341.416904</v>
      </c>
    </row>
    <row r="22" spans="1:28" ht="15.75" customHeight="1">
      <c r="A22" s="3">
        <v>5</v>
      </c>
      <c r="B22" s="3">
        <f>50*'DECISIONS INPUT'!I29/'DECISIONS INPUT'!$D$29</f>
        <v>55</v>
      </c>
      <c r="C22" s="40">
        <f>B22*'DECISIONS INPUT'!I25/'DECISIONS INPUT'!I29</f>
        <v>13.333333333333334</v>
      </c>
      <c r="D22" s="40">
        <f>B22*'DECISIONS INPUT'!$F$10</f>
        <v>12.833333333333334</v>
      </c>
      <c r="E22" s="40">
        <f>Engine!Y27</f>
        <v>94.707324605278956</v>
      </c>
      <c r="F22" s="42">
        <f>100*Engine!H27/Engine!$C$3</f>
        <v>51.35913618181818</v>
      </c>
      <c r="G22" s="43"/>
      <c r="H22" s="43">
        <f t="shared" si="25"/>
        <v>5</v>
      </c>
      <c r="I22" s="51">
        <f>IF(Engine!G27=0,"",Engine!G27)</f>
        <v>118.37342114673953</v>
      </c>
      <c r="J22" s="45">
        <f>'DECISIONS INPUT'!I23</f>
        <v>29</v>
      </c>
      <c r="K22" s="45">
        <f>'DECISIONS INPUT'!I24</f>
        <v>70</v>
      </c>
      <c r="L22" s="46">
        <f t="shared" si="29"/>
        <v>15.777586366581478</v>
      </c>
      <c r="M22" s="47">
        <f t="shared" si="26"/>
        <v>51.35913618181818</v>
      </c>
      <c r="N22" s="44">
        <f t="shared" si="30"/>
        <v>31.040368125126552</v>
      </c>
      <c r="O22" s="43">
        <f t="shared" si="27"/>
        <v>5</v>
      </c>
      <c r="P22" s="53">
        <f t="shared" si="36"/>
        <v>90.392079679999995</v>
      </c>
      <c r="Q22" s="54">
        <f>'DECISIONS INPUT'!I33</f>
        <v>80</v>
      </c>
      <c r="R22" s="22">
        <f t="shared" si="28"/>
        <v>5</v>
      </c>
      <c r="S22" s="49">
        <f>Engine!M27</f>
        <v>4918619644.6224632</v>
      </c>
      <c r="T22" s="49">
        <f>Engine!N27</f>
        <v>2027632741.8181818</v>
      </c>
      <c r="U22" s="49">
        <f>Engine!O27</f>
        <v>931818181.81818187</v>
      </c>
      <c r="V22">
        <f t="shared" si="31"/>
        <v>5064473936.7378178</v>
      </c>
      <c r="W22">
        <f t="shared" si="32"/>
        <v>1875731087.6806734</v>
      </c>
      <c r="X22">
        <f t="shared" si="33"/>
        <v>3939035284.1294141</v>
      </c>
      <c r="Y22" s="6">
        <f>Engine!F27</f>
        <v>18757310876.806732</v>
      </c>
      <c r="Z22" s="6">
        <f t="shared" si="34"/>
        <v>18757310876.806732</v>
      </c>
      <c r="AA22">
        <f t="shared" si="35"/>
        <v>10879240308.547905</v>
      </c>
    </row>
    <row r="23" spans="1:28" ht="15.75" customHeight="1">
      <c r="A23" s="3">
        <v>6</v>
      </c>
      <c r="B23" s="3">
        <f>50*'DECISIONS INPUT'!J29/'DECISIONS INPUT'!$D$29</f>
        <v>55</v>
      </c>
      <c r="C23" s="40">
        <f>B23*'DECISIONS INPUT'!J25/'DECISIONS INPUT'!J29</f>
        <v>13.333333333333334</v>
      </c>
      <c r="D23" s="40">
        <f>B23*'DECISIONS INPUT'!$F$10</f>
        <v>12.833333333333334</v>
      </c>
      <c r="E23" s="40">
        <f>Engine!Y28</f>
        <v>98.680943474774452</v>
      </c>
      <c r="F23" s="42">
        <f>100*Engine!H28/Engine!$C$3</f>
        <v>50.331953458181815</v>
      </c>
      <c r="G23" s="43"/>
      <c r="H23" s="43">
        <f t="shared" si="25"/>
        <v>6</v>
      </c>
      <c r="I23" s="51">
        <f>IF(Engine!G28=0,"",Engine!G28)</f>
        <v>116.90756563827267</v>
      </c>
      <c r="J23" s="45">
        <f>'DECISIONS INPUT'!J23</f>
        <v>30</v>
      </c>
      <c r="K23" s="45">
        <f>'DECISIONS INPUT'!J24</f>
        <v>70</v>
      </c>
      <c r="L23" s="46">
        <f t="shared" si="29"/>
        <v>16.419001869163431</v>
      </c>
      <c r="M23" s="47">
        <f t="shared" si="26"/>
        <v>50.331953458181815</v>
      </c>
      <c r="N23" s="44">
        <f t="shared" si="30"/>
        <v>29.906122180733067</v>
      </c>
      <c r="O23" s="43">
        <f t="shared" si="27"/>
        <v>6</v>
      </c>
      <c r="P23" s="53">
        <f t="shared" si="36"/>
        <v>88.584238086399992</v>
      </c>
      <c r="Q23" s="54">
        <f>'DECISIONS INPUT'!J33</f>
        <v>80</v>
      </c>
      <c r="R23" s="22">
        <f t="shared" si="28"/>
        <v>6</v>
      </c>
      <c r="S23" s="49">
        <f>Engine!M28</f>
        <v>4738888387.5240307</v>
      </c>
      <c r="T23" s="49">
        <f>Engine!N28</f>
        <v>2109807359.7090912</v>
      </c>
      <c r="U23" s="49">
        <f>Engine!O28</f>
        <v>931818181.81818187</v>
      </c>
      <c r="V23">
        <f t="shared" si="31"/>
        <v>5001758954.3901243</v>
      </c>
      <c r="W23">
        <f t="shared" si="32"/>
        <v>1852503316.4407868</v>
      </c>
      <c r="X23">
        <f t="shared" si="33"/>
        <v>3890256964.5256519</v>
      </c>
      <c r="Y23" s="6">
        <f>Engine!F28</f>
        <v>18525033164.407867</v>
      </c>
      <c r="Z23" s="6">
        <f t="shared" si="34"/>
        <v>18525033164.407867</v>
      </c>
      <c r="AA23">
        <f t="shared" si="35"/>
        <v>10744519235.356564</v>
      </c>
    </row>
    <row r="24" spans="1:28" ht="15.75" customHeight="1">
      <c r="A24" s="3">
        <v>7</v>
      </c>
      <c r="B24" s="3">
        <f>50*'DECISIONS INPUT'!K29/'DECISIONS INPUT'!$D$29</f>
        <v>55</v>
      </c>
      <c r="C24" s="40">
        <f>B24*'DECISIONS INPUT'!K25/'DECISIONS INPUT'!K29</f>
        <v>13.333333333333334</v>
      </c>
      <c r="D24" s="40">
        <f>B24*'DECISIONS INPUT'!$F$10</f>
        <v>12.833333333333334</v>
      </c>
      <c r="E24" s="40">
        <f>Engine!Y29</f>
        <v>102.73565660691274</v>
      </c>
      <c r="F24" s="42">
        <f>100*Engine!H29/Engine!$C$3</f>
        <v>49.325314389018175</v>
      </c>
      <c r="G24" s="43"/>
      <c r="H24" s="43">
        <f t="shared" si="25"/>
        <v>7</v>
      </c>
      <c r="I24" s="51">
        <f>IF(Engine!G29=0,"",Engine!G29)</f>
        <v>115.46146759853228</v>
      </c>
      <c r="J24" s="45">
        <f>'DECISIONS INPUT'!K23</f>
        <v>31</v>
      </c>
      <c r="K24" s="45">
        <f>'DECISIONS INPUT'!K24</f>
        <v>70</v>
      </c>
      <c r="L24" s="46">
        <f t="shared" si="29"/>
        <v>17.064801526749847</v>
      </c>
      <c r="M24" s="47">
        <f t="shared" si="26"/>
        <v>49.325314389018175</v>
      </c>
      <c r="N24" s="44">
        <f t="shared" si="30"/>
        <v>28.790546105821441</v>
      </c>
      <c r="O24" s="43">
        <f t="shared" si="27"/>
        <v>7</v>
      </c>
      <c r="P24" s="53">
        <f t="shared" si="36"/>
        <v>86.812553324671995</v>
      </c>
      <c r="Q24" s="54">
        <f>'DECISIONS INPUT'!K33</f>
        <v>80</v>
      </c>
      <c r="R24" s="22">
        <f t="shared" si="28"/>
        <v>7</v>
      </c>
      <c r="S24" s="49">
        <f>Engine!M29</f>
        <v>4562115535.6360588</v>
      </c>
      <c r="T24" s="49">
        <f>Engine!N29</f>
        <v>2190338485.2421823</v>
      </c>
      <c r="U24" s="49">
        <f>Engine!O29</f>
        <v>931818181.81818187</v>
      </c>
      <c r="V24">
        <f t="shared" si="31"/>
        <v>4939889273.1619864</v>
      </c>
      <c r="W24">
        <f t="shared" si="32"/>
        <v>1829588619.6896243</v>
      </c>
      <c r="X24">
        <f t="shared" si="33"/>
        <v>3842136101.3482113</v>
      </c>
      <c r="Y24" s="6">
        <f>Engine!F29</f>
        <v>18295886196.896244</v>
      </c>
      <c r="Z24" s="6">
        <f t="shared" si="34"/>
        <v>18295886196.896248</v>
      </c>
      <c r="AA24">
        <f t="shared" si="35"/>
        <v>10611613994.199821</v>
      </c>
    </row>
    <row r="25" spans="1:28" ht="15.75" customHeight="1">
      <c r="A25" s="3">
        <v>8</v>
      </c>
      <c r="B25" s="3">
        <f>50*'DECISIONS INPUT'!L29/'DECISIONS INPUT'!$D$29</f>
        <v>55</v>
      </c>
      <c r="C25" s="40">
        <f>B25*'DECISIONS INPUT'!L25/'DECISIONS INPUT'!L29</f>
        <v>13.333333333333334</v>
      </c>
      <c r="D25" s="40">
        <f>B25*'DECISIONS INPUT'!$F$10</f>
        <v>12.833333333333334</v>
      </c>
      <c r="E25" s="40">
        <f>Engine!Y30</f>
        <v>106.87311898664565</v>
      </c>
      <c r="F25" s="42">
        <f>100*Engine!H30/Engine!$C$3</f>
        <v>48.338808101237809</v>
      </c>
      <c r="G25" s="43"/>
      <c r="H25" s="43">
        <f t="shared" si="25"/>
        <v>8</v>
      </c>
      <c r="I25" s="51">
        <f>IF(Engine!G30=0,"",Engine!G30)</f>
        <v>114.03516979203731</v>
      </c>
      <c r="J25" s="45">
        <f>'DECISIONS INPUT'!L23</f>
        <v>32</v>
      </c>
      <c r="K25" s="45">
        <f>'DECISIONS INPUT'!L24</f>
        <v>70</v>
      </c>
      <c r="L25" s="46">
        <f t="shared" si="29"/>
        <v>17.714991719360729</v>
      </c>
      <c r="M25" s="47">
        <f t="shared" si="26"/>
        <v>48.338808101237809</v>
      </c>
      <c r="N25" s="44">
        <f t="shared" si="30"/>
        <v>27.693450426837313</v>
      </c>
      <c r="O25" s="43">
        <f t="shared" si="27"/>
        <v>8</v>
      </c>
      <c r="P25" s="53">
        <f t="shared" si="36"/>
        <v>85.076302258178558</v>
      </c>
      <c r="Q25" s="54">
        <f>'DECISIONS INPUT'!L33</f>
        <v>80</v>
      </c>
      <c r="R25" s="22">
        <f t="shared" si="28"/>
        <v>8</v>
      </c>
      <c r="S25" s="49">
        <f>Engine!M30</f>
        <v>4388271065.205513</v>
      </c>
      <c r="T25" s="49">
        <f>Engine!N30</f>
        <v>2269258988.2646117</v>
      </c>
      <c r="U25" s="49">
        <f>Engine!O30</f>
        <v>931818181.81818187</v>
      </c>
      <c r="V25">
        <f t="shared" si="31"/>
        <v>4878866722.6853409</v>
      </c>
      <c r="W25">
        <f t="shared" si="32"/>
        <v>1806987675.0686448</v>
      </c>
      <c r="X25">
        <f t="shared" si="33"/>
        <v>3794674117.6441541</v>
      </c>
      <c r="Y25" s="6">
        <f>Engine!F30</f>
        <v>18069876750.686447</v>
      </c>
      <c r="Z25" s="6">
        <f t="shared" si="34"/>
        <v>18069876750.686447</v>
      </c>
      <c r="AA25">
        <f t="shared" si="35"/>
        <v>10480528515.39814</v>
      </c>
    </row>
    <row r="26" spans="1:28" ht="15.75" customHeight="1">
      <c r="A26" s="3">
        <v>9</v>
      </c>
      <c r="B26" s="3">
        <f>50*'DECISIONS INPUT'!M29/'DECISIONS INPUT'!$D$29</f>
        <v>55</v>
      </c>
      <c r="C26" s="40">
        <f>B26*'DECISIONS INPUT'!M25/'DECISIONS INPUT'!M29</f>
        <v>13.333333333333334</v>
      </c>
      <c r="D26" s="40">
        <f>B26*'DECISIONS INPUT'!$F$10</f>
        <v>12.833333333333334</v>
      </c>
      <c r="E26" s="40">
        <f>Engine!Y31</f>
        <v>111.09501937412823</v>
      </c>
      <c r="F26" s="42">
        <f>100*Engine!H31/Engine!$C$3</f>
        <v>47.372031939213052</v>
      </c>
      <c r="G26" s="43"/>
      <c r="H26" s="43">
        <f t="shared" si="25"/>
        <v>9</v>
      </c>
      <c r="I26" s="44">
        <f>IF(Engine!G31=0,"",Engine!G31)</f>
        <v>112.62869520617937</v>
      </c>
      <c r="J26" s="45">
        <f>'DECISIONS INPUT'!M23</f>
        <v>33</v>
      </c>
      <c r="K26" s="45">
        <f>'DECISIONS INPUT'!M24</f>
        <v>70</v>
      </c>
      <c r="L26" s="46">
        <f t="shared" si="29"/>
        <v>18.369573079218579</v>
      </c>
      <c r="M26" s="47">
        <f t="shared" si="26"/>
        <v>47.372031939213052</v>
      </c>
      <c r="N26" s="44">
        <f t="shared" si="30"/>
        <v>26.614641512525864</v>
      </c>
      <c r="O26" s="43">
        <f t="shared" si="27"/>
        <v>9</v>
      </c>
      <c r="P26" s="53">
        <f t="shared" si="36"/>
        <v>83.374776213014982</v>
      </c>
      <c r="Q26" s="54">
        <f>'DECISIONS INPUT'!M33</f>
        <v>80</v>
      </c>
      <c r="R26" s="22">
        <f t="shared" si="28"/>
        <v>9</v>
      </c>
      <c r="S26" s="49">
        <f>Engine!M31</f>
        <v>4217324293.6551208</v>
      </c>
      <c r="T26" s="49">
        <f>Engine!N31</f>
        <v>2346601081.2265921</v>
      </c>
      <c r="U26" s="49">
        <f>Engine!O31</f>
        <v>931818181.81818187</v>
      </c>
      <c r="V26">
        <f t="shared" si="31"/>
        <v>4818692286.4499331</v>
      </c>
      <c r="W26">
        <f t="shared" si="32"/>
        <v>1784700846.8333087</v>
      </c>
      <c r="X26">
        <f t="shared" si="33"/>
        <v>3747871778.3499484</v>
      </c>
      <c r="Y26" s="6">
        <f>Engine!F31</f>
        <v>17847008468.333084</v>
      </c>
      <c r="Z26" s="6">
        <f t="shared" si="34"/>
        <v>17847008468.333084</v>
      </c>
      <c r="AA26">
        <f t="shared" si="35"/>
        <v>10351264911.63319</v>
      </c>
    </row>
    <row r="27" spans="1:28" ht="15.75" customHeight="1">
      <c r="A27" s="3">
        <v>10</v>
      </c>
      <c r="B27" s="3">
        <f>50*'DECISIONS INPUT'!N29/'DECISIONS INPUT'!$D$29</f>
        <v>55</v>
      </c>
      <c r="C27" s="46">
        <f>B27*'DECISIONS INPUT'!N25/'DECISIONS INPUT'!N29</f>
        <v>13.333333333333334</v>
      </c>
      <c r="D27" s="41"/>
      <c r="E27" s="41"/>
      <c r="F27" s="41"/>
      <c r="G27" s="43"/>
      <c r="H27" s="43">
        <f t="shared" si="25"/>
        <v>10</v>
      </c>
      <c r="I27" s="44"/>
      <c r="J27" s="45">
        <f>'DECISIONS INPUT'!N23</f>
        <v>34</v>
      </c>
      <c r="K27" s="45">
        <f>'DECISIONS INPUT'!N24</f>
        <v>70</v>
      </c>
      <c r="L27" s="44"/>
      <c r="M27" s="44"/>
      <c r="N27" s="43"/>
      <c r="O27" s="43">
        <f t="shared" si="27"/>
        <v>10</v>
      </c>
      <c r="P27" s="53">
        <f t="shared" si="36"/>
        <v>81.707280688754679</v>
      </c>
      <c r="Q27" s="54">
        <f>'DECISIONS INPUT'!N33</f>
        <v>80</v>
      </c>
      <c r="R27" s="23">
        <f t="shared" si="28"/>
        <v>10</v>
      </c>
      <c r="S27" s="58">
        <f>Engine!M32</f>
        <v>4256914985.2713985</v>
      </c>
      <c r="T27" s="58">
        <f>Engine!N32</f>
        <v>2346601081.2265921</v>
      </c>
      <c r="U27" s="58">
        <f>Engine!O32</f>
        <v>931818181.81818187</v>
      </c>
      <c r="V27">
        <f t="shared" ref="V27:V29" si="37">(Y27-(S27+T27+U27))*$V$15/$Y$15</f>
        <v>4844143445.3461103</v>
      </c>
      <c r="W27">
        <f t="shared" ref="W27:W29" si="38">(Y27-(S27+T27+U27))*$W$15/$Y$15</f>
        <v>1794127201.980041</v>
      </c>
      <c r="X27">
        <f t="shared" ref="X27:X29" si="39">(Y27-(S27+T27+U27))*$X$15/$Y$15</f>
        <v>3767667124.1580863</v>
      </c>
      <c r="Y27" s="56">
        <f>Engine!F32</f>
        <v>17941272019.800411</v>
      </c>
      <c r="Z27" s="56">
        <f t="shared" ref="Z27:Z29" si="40">SUM(S27:X27)</f>
        <v>17941272019.800411</v>
      </c>
      <c r="AA27">
        <f t="shared" ref="AA27:AA29" si="41">V27+W27+X27</f>
        <v>10405937771.484238</v>
      </c>
    </row>
    <row r="28" spans="1:28" ht="15.75" customHeight="1">
      <c r="A28" s="3">
        <v>11</v>
      </c>
      <c r="B28" s="3">
        <f>50*'DECISIONS INPUT'!O29/'DECISIONS INPUT'!$D$29</f>
        <v>55</v>
      </c>
      <c r="C28" s="46">
        <f>B28*'DECISIONS INPUT'!O25/'DECISIONS INPUT'!O29</f>
        <v>13.333333333333334</v>
      </c>
      <c r="D28" s="41"/>
      <c r="E28" s="41"/>
      <c r="F28" s="41"/>
      <c r="G28" s="43"/>
      <c r="H28" s="43">
        <f t="shared" si="25"/>
        <v>11</v>
      </c>
      <c r="I28" s="44"/>
      <c r="J28" s="45">
        <f>'DECISIONS INPUT'!O23</f>
        <v>35</v>
      </c>
      <c r="K28" s="45">
        <f>'DECISIONS INPUT'!O24</f>
        <v>70</v>
      </c>
      <c r="L28" s="44"/>
      <c r="M28" s="44"/>
      <c r="N28" s="43"/>
      <c r="O28" s="43">
        <f t="shared" si="27"/>
        <v>11</v>
      </c>
      <c r="P28" s="53">
        <f t="shared" si="36"/>
        <v>80.073135074979589</v>
      </c>
      <c r="Q28" s="54">
        <f>'DECISIONS INPUT'!O33</f>
        <v>80</v>
      </c>
      <c r="R28" s="23">
        <f t="shared" si="28"/>
        <v>11</v>
      </c>
      <c r="S28" s="58">
        <f>Engine!M33</f>
        <v>4295919148.1229916</v>
      </c>
      <c r="T28" s="58">
        <f>Engine!N33</f>
        <v>2346601081.2265921</v>
      </c>
      <c r="U28" s="58">
        <f>Engine!O33</f>
        <v>931818181.81818187</v>
      </c>
      <c r="V28">
        <f t="shared" si="37"/>
        <v>4869217550.0364199</v>
      </c>
      <c r="W28">
        <f t="shared" si="38"/>
        <v>1803413907.4208963</v>
      </c>
      <c r="X28">
        <f t="shared" si="39"/>
        <v>3787169205.5838823</v>
      </c>
      <c r="Y28" s="56">
        <f>Engine!F33</f>
        <v>18034139074.208965</v>
      </c>
      <c r="Z28" s="56">
        <f t="shared" si="40"/>
        <v>18034139074.208965</v>
      </c>
      <c r="AA28">
        <f t="shared" si="41"/>
        <v>10459800663.041199</v>
      </c>
    </row>
    <row r="29" spans="1:28" ht="15.75" customHeight="1">
      <c r="A29" s="3">
        <v>12</v>
      </c>
      <c r="B29" s="3">
        <f>50*'DECISIONS INPUT'!P29/'DECISIONS INPUT'!$D$29</f>
        <v>55</v>
      </c>
      <c r="C29" s="46">
        <f>B29*'DECISIONS INPUT'!P25/'DECISIONS INPUT'!P29</f>
        <v>13.333333333333334</v>
      </c>
      <c r="D29" s="41"/>
      <c r="E29" s="41"/>
      <c r="F29" s="41"/>
      <c r="G29" s="43"/>
      <c r="H29" s="43">
        <f t="shared" si="25"/>
        <v>12</v>
      </c>
      <c r="I29" s="44"/>
      <c r="J29" s="45">
        <f>'DECISIONS INPUT'!P23</f>
        <v>36</v>
      </c>
      <c r="K29" s="45">
        <f>'DECISIONS INPUT'!P24</f>
        <v>70</v>
      </c>
      <c r="L29" s="44"/>
      <c r="M29" s="44"/>
      <c r="N29" s="43"/>
      <c r="O29" s="43">
        <f t="shared" si="27"/>
        <v>12</v>
      </c>
      <c r="P29" s="53">
        <f t="shared" si="36"/>
        <v>78.47167237347999</v>
      </c>
      <c r="Q29" s="54">
        <f>'DECISIONS INPUT'!P33</f>
        <v>80</v>
      </c>
      <c r="R29" s="23">
        <f t="shared" si="28"/>
        <v>12</v>
      </c>
      <c r="S29" s="58">
        <f>Engine!M34</f>
        <v>4334349720.3444128</v>
      </c>
      <c r="T29" s="58">
        <f>Engine!N34</f>
        <v>2346601081.2265921</v>
      </c>
      <c r="U29" s="58">
        <f>Engine!O34</f>
        <v>931818181.81818187</v>
      </c>
      <c r="V29">
        <f t="shared" si="37"/>
        <v>4893922917.8930492</v>
      </c>
      <c r="W29">
        <f t="shared" si="38"/>
        <v>1812564043.6640925</v>
      </c>
      <c r="X29">
        <f t="shared" si="39"/>
        <v>3806384491.6945939</v>
      </c>
      <c r="Y29" s="56">
        <f>Engine!F34</f>
        <v>18125640436.640923</v>
      </c>
      <c r="Z29" s="56">
        <f t="shared" si="40"/>
        <v>18125640436.640923</v>
      </c>
      <c r="AA29">
        <f t="shared" si="41"/>
        <v>10512871453.251736</v>
      </c>
    </row>
    <row r="36" spans="1:31" ht="15.75" customHeight="1">
      <c r="P36" s="2" t="s">
        <v>100</v>
      </c>
    </row>
    <row r="38" spans="1:31" ht="15.75" customHeight="1">
      <c r="A38" s="24" t="s">
        <v>48</v>
      </c>
      <c r="B38" s="2" t="s">
        <v>101</v>
      </c>
      <c r="C38" s="2" t="s">
        <v>102</v>
      </c>
      <c r="D38" s="2" t="s">
        <v>103</v>
      </c>
      <c r="E38" s="2" t="s">
        <v>104</v>
      </c>
      <c r="P38" t="str">
        <f t="shared" ref="P38:P51" si="42">A38</f>
        <v>ROUND</v>
      </c>
      <c r="Q38" s="2" t="s">
        <v>105</v>
      </c>
      <c r="R38" s="2" t="s">
        <v>106</v>
      </c>
      <c r="S38" s="2" t="str">
        <f>E1</f>
        <v>Wages after tax &amp; VAT</v>
      </c>
      <c r="T38" s="2" t="s">
        <v>99</v>
      </c>
      <c r="U38" s="2" t="s">
        <v>107</v>
      </c>
      <c r="V38" s="2" t="s">
        <v>74</v>
      </c>
      <c r="W38" s="2" t="s">
        <v>155</v>
      </c>
      <c r="X38" s="2" t="s">
        <v>156</v>
      </c>
    </row>
    <row r="39" spans="1:31" ht="15.75" customHeight="1">
      <c r="A39" s="3">
        <v>0</v>
      </c>
      <c r="B39" s="31">
        <f>'DECISIONS INPUT'!D33</f>
        <v>50</v>
      </c>
      <c r="C39" s="30">
        <f t="shared" ref="C39:D39" si="43">L17</f>
        <v>1.9900497721541548</v>
      </c>
      <c r="D39" s="56">
        <f t="shared" si="43"/>
        <v>56.818181818181813</v>
      </c>
      <c r="E39">
        <f t="shared" ref="E39:E51" si="44">I17</f>
        <v>100</v>
      </c>
      <c r="P39">
        <f t="shared" si="42"/>
        <v>0</v>
      </c>
      <c r="Q39">
        <f>Engine!AJ22</f>
        <v>50</v>
      </c>
      <c r="R39">
        <f>Q39</f>
        <v>50</v>
      </c>
      <c r="S39" s="2">
        <f>E2</f>
        <v>28</v>
      </c>
      <c r="T39">
        <f>100*AA17/$AA$17</f>
        <v>100</v>
      </c>
      <c r="U39">
        <f>T39</f>
        <v>100</v>
      </c>
      <c r="V39" s="79">
        <f>L2</f>
        <v>1.3333333333333335</v>
      </c>
      <c r="W39">
        <f>O2</f>
        <v>8.1666666666666661</v>
      </c>
      <c r="X39" s="80">
        <f>B39</f>
        <v>50</v>
      </c>
    </row>
    <row r="40" spans="1:31" ht="15.75" customHeight="1">
      <c r="A40" s="3">
        <v>1</v>
      </c>
      <c r="B40" s="31">
        <f>'DECISIONS INPUT'!E33</f>
        <v>80</v>
      </c>
      <c r="C40" s="30">
        <f t="shared" ref="C40:D40" si="45">L18</f>
        <v>3.3983200478719868</v>
      </c>
      <c r="D40" s="56">
        <f t="shared" si="45"/>
        <v>55.681818181818187</v>
      </c>
      <c r="E40" s="6">
        <f t="shared" si="44"/>
        <v>121.34014739124258</v>
      </c>
      <c r="P40">
        <f t="shared" si="42"/>
        <v>1</v>
      </c>
      <c r="Q40">
        <f>IF(Engine!AJ23=0,"",Engine!AJ23)</f>
        <v>63.427083188646527</v>
      </c>
      <c r="R40">
        <f t="shared" ref="R40:R51" si="46">R39</f>
        <v>50</v>
      </c>
      <c r="S40" s="2">
        <f>IF(E3=0,"",E3)</f>
        <v>28.6</v>
      </c>
      <c r="T40">
        <f t="shared" ref="T40:T51" si="47">IF(AA18=0,"",100*AA18/$AA$17)</f>
        <v>121.34014739124254</v>
      </c>
      <c r="U40">
        <f t="shared" ref="U40:U51" si="48">U39</f>
        <v>100</v>
      </c>
      <c r="V40" s="79">
        <f t="shared" ref="V40:V51" si="49">L3</f>
        <v>2.666666666666667</v>
      </c>
      <c r="W40">
        <f t="shared" ref="W40:W51" si="50">O3</f>
        <v>7.583333333333333</v>
      </c>
      <c r="X40" s="80">
        <f t="shared" ref="X40:X51" si="51">B40</f>
        <v>80</v>
      </c>
    </row>
    <row r="41" spans="1:31" ht="15.75" customHeight="1">
      <c r="A41" s="3">
        <v>2</v>
      </c>
      <c r="B41" s="31">
        <f>'DECISIONS INPUT'!F33</f>
        <v>80</v>
      </c>
      <c r="C41" s="30">
        <f t="shared" ref="C41:D41" si="52">L19</f>
        <v>7.0662333105238133</v>
      </c>
      <c r="D41" s="56">
        <f t="shared" si="52"/>
        <v>54.568181818181813</v>
      </c>
      <c r="E41" s="6">
        <f t="shared" si="44"/>
        <v>120.6890527930081</v>
      </c>
      <c r="P41">
        <f t="shared" si="42"/>
        <v>2</v>
      </c>
      <c r="Q41">
        <f>IF(Engine!AJ24=0,"",Engine!AJ24)</f>
        <v>69.292599406702607</v>
      </c>
      <c r="R41">
        <f t="shared" si="46"/>
        <v>50</v>
      </c>
      <c r="S41" s="2">
        <f t="shared" ref="S41:S51" si="53">IF(E4=0,"",E4)</f>
        <v>28.373015873015873</v>
      </c>
      <c r="T41">
        <f t="shared" si="47"/>
        <v>120.68905279300807</v>
      </c>
      <c r="U41">
        <f t="shared" si="48"/>
        <v>100</v>
      </c>
      <c r="V41" s="79">
        <f t="shared" si="49"/>
        <v>5.2910052910052912</v>
      </c>
      <c r="W41">
        <f t="shared" si="50"/>
        <v>7.583333333333333</v>
      </c>
      <c r="X41" s="80">
        <f t="shared" si="51"/>
        <v>80</v>
      </c>
      <c r="AE41">
        <f>50*0.4</f>
        <v>20</v>
      </c>
    </row>
    <row r="42" spans="1:31" ht="15.75" customHeight="1">
      <c r="A42" s="3">
        <v>3</v>
      </c>
      <c r="B42" s="31">
        <f>'DECISIONS INPUT'!G33</f>
        <v>80</v>
      </c>
      <c r="C42" s="30">
        <f t="shared" ref="C42:D42" si="54">L20</f>
        <v>14.507853204899567</v>
      </c>
      <c r="D42" s="56">
        <f t="shared" si="54"/>
        <v>53.476818181818182</v>
      </c>
      <c r="E42" s="6">
        <f t="shared" si="44"/>
        <v>121.36412642517625</v>
      </c>
      <c r="P42">
        <f t="shared" si="42"/>
        <v>3</v>
      </c>
      <c r="Q42">
        <f>IF(Engine!AJ25=0,"",Engine!AJ25)</f>
        <v>82.921531782806042</v>
      </c>
      <c r="R42">
        <f t="shared" si="46"/>
        <v>50</v>
      </c>
      <c r="S42" s="2">
        <f t="shared" si="53"/>
        <v>28.149606299212596</v>
      </c>
      <c r="T42">
        <f t="shared" si="47"/>
        <v>121.36412642517622</v>
      </c>
      <c r="U42">
        <f t="shared" si="48"/>
        <v>100</v>
      </c>
      <c r="V42" s="79">
        <f t="shared" si="49"/>
        <v>10.498687664041995</v>
      </c>
      <c r="W42">
        <f t="shared" si="50"/>
        <v>7.583333333333333</v>
      </c>
      <c r="X42" s="80">
        <f t="shared" si="51"/>
        <v>80</v>
      </c>
    </row>
    <row r="43" spans="1:31" ht="15.75" customHeight="1">
      <c r="A43" s="3">
        <v>4</v>
      </c>
      <c r="B43" s="31">
        <f>'DECISIONS INPUT'!H33</f>
        <v>80</v>
      </c>
      <c r="C43" s="30">
        <f t="shared" ref="C43:D43" si="55">L21</f>
        <v>15.140542831631539</v>
      </c>
      <c r="D43" s="56">
        <f t="shared" si="55"/>
        <v>52.407281818181822</v>
      </c>
      <c r="E43" s="6">
        <f t="shared" si="44"/>
        <v>119.85897022875612</v>
      </c>
      <c r="P43">
        <f t="shared" si="42"/>
        <v>4</v>
      </c>
      <c r="Q43">
        <f>IF(Engine!AJ26=0,"",Engine!AJ26)</f>
        <v>81.945889827770742</v>
      </c>
      <c r="R43">
        <f t="shared" si="46"/>
        <v>50</v>
      </c>
      <c r="S43" s="2">
        <f t="shared" si="53"/>
        <v>27.9296875</v>
      </c>
      <c r="T43">
        <f t="shared" si="47"/>
        <v>119.85897022875611</v>
      </c>
      <c r="U43">
        <f t="shared" si="48"/>
        <v>100</v>
      </c>
      <c r="V43" s="79">
        <f t="shared" si="49"/>
        <v>10.416666666666666</v>
      </c>
      <c r="W43">
        <f t="shared" si="50"/>
        <v>7.583333333333333</v>
      </c>
      <c r="X43" s="80">
        <f t="shared" si="51"/>
        <v>80</v>
      </c>
    </row>
    <row r="44" spans="1:31" ht="15.75" customHeight="1">
      <c r="A44" s="3">
        <v>5</v>
      </c>
      <c r="B44" s="31">
        <f>'DECISIONS INPUT'!I33</f>
        <v>80</v>
      </c>
      <c r="C44" s="30">
        <f t="shared" ref="C44:D44" si="56">L22</f>
        <v>15.777586366581478</v>
      </c>
      <c r="D44" s="56">
        <f t="shared" si="56"/>
        <v>51.35913618181818</v>
      </c>
      <c r="E44" s="6">
        <f t="shared" si="44"/>
        <v>118.37342114673953</v>
      </c>
      <c r="P44">
        <f t="shared" si="42"/>
        <v>5</v>
      </c>
      <c r="Q44">
        <f>IF(Engine!AJ27=0,"",Engine!AJ27)</f>
        <v>80.957985994258706</v>
      </c>
      <c r="R44">
        <f t="shared" si="46"/>
        <v>50</v>
      </c>
      <c r="S44" s="2">
        <f t="shared" si="53"/>
        <v>27.713178294573641</v>
      </c>
      <c r="T44">
        <f t="shared" si="47"/>
        <v>118.3734211467395</v>
      </c>
      <c r="U44">
        <f t="shared" si="48"/>
        <v>100</v>
      </c>
      <c r="V44" s="79">
        <f t="shared" si="49"/>
        <v>10.335917312661499</v>
      </c>
      <c r="W44">
        <f t="shared" si="50"/>
        <v>7.583333333333333</v>
      </c>
      <c r="X44" s="80">
        <f t="shared" si="51"/>
        <v>80</v>
      </c>
    </row>
    <row r="45" spans="1:31" ht="15.75" customHeight="1">
      <c r="A45" s="3">
        <v>6</v>
      </c>
      <c r="B45" s="31">
        <f>'DECISIONS INPUT'!J33</f>
        <v>80</v>
      </c>
      <c r="C45" s="30">
        <f t="shared" ref="C45:D45" si="57">L23</f>
        <v>16.419001869163431</v>
      </c>
      <c r="D45" s="56">
        <f t="shared" si="57"/>
        <v>50.331953458181815</v>
      </c>
      <c r="E45" s="6">
        <f t="shared" si="44"/>
        <v>116.90756563827267</v>
      </c>
      <c r="P45">
        <f t="shared" si="42"/>
        <v>6</v>
      </c>
      <c r="Q45">
        <f>IF(Engine!AJ28=0,"",Engine!AJ28)</f>
        <v>79.958513284062889</v>
      </c>
      <c r="R45">
        <f t="shared" si="46"/>
        <v>50</v>
      </c>
      <c r="S45" s="2">
        <f t="shared" si="53"/>
        <v>27.5</v>
      </c>
      <c r="T45">
        <f t="shared" si="47"/>
        <v>116.90756563827267</v>
      </c>
      <c r="U45">
        <f t="shared" si="48"/>
        <v>100</v>
      </c>
      <c r="V45" s="79">
        <f t="shared" si="49"/>
        <v>10.256410256410257</v>
      </c>
      <c r="W45">
        <f t="shared" si="50"/>
        <v>7.583333333333333</v>
      </c>
      <c r="X45" s="80">
        <f t="shared" si="51"/>
        <v>80</v>
      </c>
    </row>
    <row r="46" spans="1:31" ht="15.75" customHeight="1">
      <c r="A46" s="3">
        <v>7</v>
      </c>
      <c r="B46" s="31">
        <f>'DECISIONS INPUT'!K33</f>
        <v>80</v>
      </c>
      <c r="C46" s="30">
        <f t="shared" ref="C46:D46" si="58">L24</f>
        <v>17.064801526749847</v>
      </c>
      <c r="D46" s="56">
        <f t="shared" si="58"/>
        <v>49.325314389018175</v>
      </c>
      <c r="E46" s="6">
        <f t="shared" si="44"/>
        <v>115.46146759853228</v>
      </c>
      <c r="P46">
        <f t="shared" si="42"/>
        <v>7</v>
      </c>
      <c r="Q46">
        <f>IF(Engine!AJ29=0,"",Engine!AJ29)</f>
        <v>78.948127830974144</v>
      </c>
      <c r="R46">
        <f t="shared" si="46"/>
        <v>50</v>
      </c>
      <c r="S46" s="2">
        <f t="shared" si="53"/>
        <v>27.29007633587786</v>
      </c>
      <c r="T46">
        <f t="shared" si="47"/>
        <v>115.46146759853225</v>
      </c>
      <c r="U46">
        <f t="shared" si="48"/>
        <v>100</v>
      </c>
      <c r="V46" s="79">
        <f t="shared" si="49"/>
        <v>10.178117048346056</v>
      </c>
      <c r="W46">
        <f t="shared" si="50"/>
        <v>7.583333333333333</v>
      </c>
      <c r="X46" s="80">
        <f t="shared" si="51"/>
        <v>80</v>
      </c>
    </row>
    <row r="47" spans="1:31" ht="15.75" customHeight="1">
      <c r="A47" s="3">
        <v>8</v>
      </c>
      <c r="B47" s="31">
        <f>'DECISIONS INPUT'!L33</f>
        <v>80</v>
      </c>
      <c r="C47" s="30">
        <f t="shared" ref="C47:D47" si="59">L25</f>
        <v>17.714991719360729</v>
      </c>
      <c r="D47" s="56">
        <f t="shared" si="59"/>
        <v>48.338808101237809</v>
      </c>
      <c r="E47" s="6">
        <f t="shared" si="44"/>
        <v>114.03516979203731</v>
      </c>
      <c r="P47">
        <f t="shared" si="42"/>
        <v>8</v>
      </c>
      <c r="Q47">
        <f>IF(Engine!AJ30=0,"",Engine!AJ30)</f>
        <v>77.927450803678212</v>
      </c>
      <c r="R47">
        <f t="shared" si="46"/>
        <v>50</v>
      </c>
      <c r="S47" s="2">
        <f t="shared" si="53"/>
        <v>27.083333333333332</v>
      </c>
      <c r="T47">
        <f t="shared" si="47"/>
        <v>114.03516979203729</v>
      </c>
      <c r="U47">
        <f t="shared" si="48"/>
        <v>100</v>
      </c>
      <c r="V47" s="79">
        <f t="shared" si="49"/>
        <v>10.1010101010101</v>
      </c>
      <c r="W47">
        <f t="shared" si="50"/>
        <v>7.583333333333333</v>
      </c>
      <c r="X47" s="80">
        <f t="shared" si="51"/>
        <v>80</v>
      </c>
    </row>
    <row r="48" spans="1:31" ht="15.75" customHeight="1">
      <c r="A48" s="3">
        <v>9</v>
      </c>
      <c r="B48" s="31">
        <f>'DECISIONS INPUT'!M33</f>
        <v>80</v>
      </c>
      <c r="C48" s="30">
        <f t="shared" ref="C48:D48" si="60">L26</f>
        <v>18.369573079218579</v>
      </c>
      <c r="D48" s="56">
        <f t="shared" si="60"/>
        <v>47.372031939213052</v>
      </c>
      <c r="E48">
        <f t="shared" si="44"/>
        <v>112.62869520617937</v>
      </c>
      <c r="P48">
        <f t="shared" si="42"/>
        <v>9</v>
      </c>
      <c r="Q48">
        <f>IF(Engine!AJ31=0,"",Engine!AJ31)</f>
        <v>76.897070208012721</v>
      </c>
      <c r="R48">
        <f t="shared" si="46"/>
        <v>50</v>
      </c>
      <c r="S48" s="2">
        <f t="shared" si="53"/>
        <v>26.8796992481203</v>
      </c>
      <c r="T48">
        <f t="shared" si="47"/>
        <v>112.62869520617937</v>
      </c>
      <c r="U48">
        <f t="shared" si="48"/>
        <v>100</v>
      </c>
      <c r="V48" s="79">
        <f t="shared" si="49"/>
        <v>10.025062656641603</v>
      </c>
      <c r="W48">
        <f t="shared" si="50"/>
        <v>7.583333333333333</v>
      </c>
      <c r="X48" s="80">
        <f t="shared" si="51"/>
        <v>80</v>
      </c>
    </row>
    <row r="49" spans="1:24" ht="15.75" customHeight="1">
      <c r="A49" s="3">
        <v>10</v>
      </c>
      <c r="B49" s="80">
        <f>'DECISIONS INPUT'!N33</f>
        <v>80</v>
      </c>
      <c r="C49">
        <f t="shared" ref="C49:C51" si="61">L27</f>
        <v>0</v>
      </c>
      <c r="E49">
        <f t="shared" si="44"/>
        <v>0</v>
      </c>
      <c r="P49">
        <f t="shared" si="42"/>
        <v>10</v>
      </c>
      <c r="Q49">
        <f>IF(Engine!AJ32=0,"",Engine!AJ32)</f>
        <v>75.994290547430495</v>
      </c>
      <c r="R49">
        <f t="shared" si="46"/>
        <v>50</v>
      </c>
      <c r="S49" s="2">
        <f t="shared" si="53"/>
        <v>26.67910447761194</v>
      </c>
      <c r="T49">
        <f t="shared" si="47"/>
        <v>113.22357253960493</v>
      </c>
      <c r="U49">
        <f t="shared" si="48"/>
        <v>100</v>
      </c>
      <c r="V49" s="79">
        <f t="shared" si="49"/>
        <v>9.9502487562189046</v>
      </c>
      <c r="W49">
        <f t="shared" si="50"/>
        <v>7.583333333333333</v>
      </c>
      <c r="X49" s="80">
        <f t="shared" si="51"/>
        <v>80</v>
      </c>
    </row>
    <row r="50" spans="1:24" ht="15.75" customHeight="1">
      <c r="A50" s="3">
        <v>11</v>
      </c>
      <c r="B50" s="80">
        <f>'DECISIONS INPUT'!O33</f>
        <v>80</v>
      </c>
      <c r="C50">
        <f t="shared" si="61"/>
        <v>0</v>
      </c>
      <c r="E50">
        <f t="shared" si="44"/>
        <v>0</v>
      </c>
      <c r="P50">
        <f t="shared" si="42"/>
        <v>11</v>
      </c>
      <c r="Q50">
        <f>IF(Engine!AJ33=0,"",Engine!AJ33)</f>
        <v>75.080514801317051</v>
      </c>
      <c r="R50">
        <f t="shared" si="46"/>
        <v>50</v>
      </c>
      <c r="S50" s="2">
        <f t="shared" si="53"/>
        <v>26.481481481481481</v>
      </c>
      <c r="T50">
        <f t="shared" si="47"/>
        <v>113.80963687549828</v>
      </c>
      <c r="U50">
        <f t="shared" si="48"/>
        <v>100</v>
      </c>
      <c r="V50" s="79">
        <f t="shared" si="49"/>
        <v>9.8765432098765427</v>
      </c>
      <c r="W50">
        <f t="shared" si="50"/>
        <v>7.583333333333333</v>
      </c>
      <c r="X50" s="80">
        <f t="shared" si="51"/>
        <v>80</v>
      </c>
    </row>
    <row r="51" spans="1:24" ht="15.75" customHeight="1">
      <c r="A51" s="3">
        <v>12</v>
      </c>
      <c r="B51" s="80">
        <f>'DECISIONS INPUT'!P33</f>
        <v>80</v>
      </c>
      <c r="C51">
        <f t="shared" si="61"/>
        <v>0</v>
      </c>
      <c r="E51">
        <f t="shared" si="44"/>
        <v>0</v>
      </c>
      <c r="P51">
        <f t="shared" si="42"/>
        <v>12</v>
      </c>
      <c r="Q51">
        <f>IF(Engine!AJ34=0,"",Engine!AJ34)</f>
        <v>74.155985530382566</v>
      </c>
      <c r="R51">
        <f t="shared" si="46"/>
        <v>50</v>
      </c>
      <c r="S51" s="2">
        <f t="shared" si="53"/>
        <v>26.286764705882351</v>
      </c>
      <c r="T51">
        <f t="shared" si="47"/>
        <v>114.38708261821675</v>
      </c>
      <c r="U51">
        <f t="shared" si="48"/>
        <v>100</v>
      </c>
      <c r="V51" s="79">
        <f t="shared" si="49"/>
        <v>9.8039215686274517</v>
      </c>
      <c r="W51">
        <f t="shared" si="50"/>
        <v>7.583333333333333</v>
      </c>
      <c r="X51" s="80">
        <f t="shared" si="51"/>
        <v>80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outlinePr summaryBelow="0" summaryRight="0"/>
  </sheetPr>
  <dimension ref="A1:AL1007"/>
  <sheetViews>
    <sheetView showGridLines="0" showRowColHeaders="0" topLeftCell="A19" workbookViewId="0">
      <selection activeCell="E31" sqref="E31:P31"/>
    </sheetView>
  </sheetViews>
  <sheetFormatPr baseColWidth="10" defaultColWidth="14.5" defaultRowHeight="15.75" customHeight="1"/>
  <cols>
    <col min="1" max="1" width="5" customWidth="1"/>
    <col min="2" max="2" width="10.33203125" customWidth="1"/>
    <col min="3" max="3" width="51.5" customWidth="1"/>
    <col min="4" max="4" width="17" customWidth="1"/>
    <col min="5" max="18" width="15.1640625" customWidth="1"/>
  </cols>
  <sheetData>
    <row r="1" spans="1:38" ht="13" hidden="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pans="1:38" ht="13" hidden="1">
      <c r="A2" s="11"/>
      <c r="B2" s="11"/>
      <c r="C2" s="59" t="s">
        <v>108</v>
      </c>
      <c r="D2" s="60"/>
      <c r="E2" s="61"/>
      <c r="F2" s="6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</row>
    <row r="3" spans="1:38" ht="13" hidden="1">
      <c r="A3" s="11"/>
      <c r="B3" s="62"/>
      <c r="C3" s="63" t="s">
        <v>11</v>
      </c>
      <c r="D3" s="64">
        <v>10</v>
      </c>
      <c r="E3" s="65" t="s">
        <v>109</v>
      </c>
      <c r="F3" s="65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77"/>
      <c r="T3" s="77"/>
      <c r="U3" s="77"/>
      <c r="V3" s="77"/>
      <c r="W3" s="77"/>
      <c r="X3" s="77"/>
      <c r="Y3" s="77"/>
      <c r="Z3" s="77"/>
      <c r="AA3" s="77"/>
      <c r="AB3" s="77"/>
      <c r="AC3" s="77"/>
      <c r="AD3" s="77"/>
      <c r="AE3" s="77"/>
      <c r="AF3" s="77"/>
      <c r="AG3" s="77"/>
      <c r="AH3" s="77"/>
      <c r="AI3" s="77"/>
      <c r="AJ3" s="77"/>
      <c r="AK3" s="77"/>
      <c r="AL3" s="77"/>
    </row>
    <row r="4" spans="1:38" ht="13" hidden="1">
      <c r="A4" s="11"/>
      <c r="B4" s="11"/>
      <c r="C4" s="66" t="s">
        <v>110</v>
      </c>
      <c r="D4" s="67">
        <v>35</v>
      </c>
      <c r="E4" s="65" t="s">
        <v>111</v>
      </c>
      <c r="F4" s="65">
        <f t="shared" ref="F4:F5" si="0">10000000*D4 /176</f>
        <v>1988636.3636363635</v>
      </c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77"/>
      <c r="T4" s="77"/>
      <c r="U4" s="77"/>
      <c r="V4" s="77"/>
      <c r="W4" s="77"/>
      <c r="X4" s="77"/>
      <c r="Y4" s="77"/>
      <c r="Z4" s="77"/>
      <c r="AA4" s="77"/>
      <c r="AB4" s="77"/>
      <c r="AC4" s="77"/>
      <c r="AD4" s="77"/>
      <c r="AE4" s="77"/>
      <c r="AF4" s="77"/>
      <c r="AG4" s="77"/>
      <c r="AH4" s="77"/>
      <c r="AI4" s="77"/>
      <c r="AJ4" s="77"/>
      <c r="AK4" s="77"/>
      <c r="AL4" s="77"/>
    </row>
    <row r="5" spans="1:38" ht="13" hidden="1">
      <c r="A5" s="11"/>
      <c r="B5" s="11"/>
      <c r="C5" s="66" t="s">
        <v>112</v>
      </c>
      <c r="D5" s="67">
        <v>41</v>
      </c>
      <c r="E5" s="65" t="s">
        <v>111</v>
      </c>
      <c r="F5" s="65">
        <f t="shared" si="0"/>
        <v>2329545.4545454546</v>
      </c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77"/>
      <c r="T5" s="77"/>
      <c r="U5" s="77"/>
      <c r="V5" s="77"/>
      <c r="W5" s="77"/>
      <c r="X5" s="77"/>
      <c r="Y5" s="77"/>
      <c r="Z5" s="77"/>
      <c r="AA5" s="77"/>
      <c r="AB5" s="77"/>
      <c r="AC5" s="77"/>
      <c r="AD5" s="77"/>
      <c r="AE5" s="77"/>
      <c r="AF5" s="77"/>
      <c r="AG5" s="77"/>
      <c r="AH5" s="77"/>
      <c r="AI5" s="77"/>
      <c r="AJ5" s="77"/>
      <c r="AK5" s="77"/>
      <c r="AL5" s="77"/>
    </row>
    <row r="6" spans="1:38" ht="13" hidden="1">
      <c r="A6" s="11"/>
      <c r="B6" s="11"/>
      <c r="C6" s="66" t="s">
        <v>113</v>
      </c>
      <c r="D6" s="67"/>
      <c r="E6" s="65" t="s">
        <v>114</v>
      </c>
      <c r="F6" s="65">
        <f>D3*1000000*100/176</f>
        <v>5681818.1818181816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77"/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</row>
    <row r="7" spans="1:38" ht="13" hidden="1">
      <c r="A7" s="11"/>
      <c r="B7" s="11"/>
      <c r="C7" s="66" t="s">
        <v>115</v>
      </c>
      <c r="D7" s="68">
        <f>0.06</f>
        <v>0.06</v>
      </c>
      <c r="E7" s="65" t="s">
        <v>116</v>
      </c>
      <c r="F7" s="65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77"/>
      <c r="T7" s="77"/>
      <c r="U7" s="77"/>
      <c r="V7" s="77"/>
      <c r="W7" s="77"/>
      <c r="X7" s="77"/>
      <c r="Y7" s="77"/>
      <c r="Z7" s="77"/>
      <c r="AA7" s="77"/>
      <c r="AB7" s="77"/>
      <c r="AC7" s="77"/>
      <c r="AD7" s="77"/>
      <c r="AE7" s="77"/>
      <c r="AF7" s="77"/>
      <c r="AG7" s="77"/>
      <c r="AH7" s="77"/>
      <c r="AI7" s="77"/>
      <c r="AJ7" s="77"/>
      <c r="AK7" s="77"/>
      <c r="AL7" s="77"/>
    </row>
    <row r="8" spans="1:38" ht="13" hidden="1">
      <c r="A8" s="11"/>
      <c r="B8" s="11"/>
      <c r="C8" s="66" t="s">
        <v>117</v>
      </c>
      <c r="D8" s="69">
        <f>D3-(D3*41/176)</f>
        <v>7.670454545454545</v>
      </c>
      <c r="E8" s="65" t="s">
        <v>109</v>
      </c>
      <c r="F8" s="65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77"/>
      <c r="T8" s="77"/>
      <c r="U8" s="77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</row>
    <row r="9" spans="1:38" ht="13" hidden="1">
      <c r="A9" s="11"/>
      <c r="B9" s="11"/>
      <c r="C9" s="66" t="s">
        <v>118</v>
      </c>
      <c r="D9" s="67">
        <v>3000</v>
      </c>
      <c r="E9" s="70" t="s">
        <v>119</v>
      </c>
      <c r="F9" s="65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77"/>
      <c r="T9" s="77"/>
      <c r="U9" s="77"/>
      <c r="V9" s="77"/>
      <c r="W9" s="77"/>
      <c r="X9" s="77"/>
      <c r="Y9" s="77"/>
      <c r="Z9" s="77"/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</row>
    <row r="10" spans="1:38" ht="13" hidden="1">
      <c r="A10" s="11"/>
      <c r="B10" s="71"/>
      <c r="C10" s="66" t="s">
        <v>120</v>
      </c>
      <c r="D10" s="67">
        <v>700</v>
      </c>
      <c r="E10" s="70" t="s">
        <v>119</v>
      </c>
      <c r="F10" s="70">
        <f>D10/D9</f>
        <v>0.23333333333333334</v>
      </c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</row>
    <row r="11" spans="1:38" ht="13" hidden="1">
      <c r="A11" s="11"/>
      <c r="B11" s="11"/>
      <c r="C11" s="66" t="s">
        <v>42</v>
      </c>
      <c r="D11" s="67">
        <v>25</v>
      </c>
      <c r="E11" s="70" t="s">
        <v>116</v>
      </c>
      <c r="F11" s="70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</row>
    <row r="12" spans="1:38" ht="13" hidden="1">
      <c r="A12" s="11"/>
      <c r="B12" s="11"/>
      <c r="C12" s="66" t="s">
        <v>121</v>
      </c>
      <c r="D12" s="72">
        <v>0.2</v>
      </c>
      <c r="E12" s="70" t="s">
        <v>61</v>
      </c>
      <c r="F12" s="70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</row>
    <row r="13" spans="1:38" ht="13" hidden="1">
      <c r="A13" s="11"/>
      <c r="B13" s="11"/>
      <c r="C13" s="66" t="s">
        <v>122</v>
      </c>
      <c r="D13" s="67">
        <v>60</v>
      </c>
      <c r="E13" s="70" t="s">
        <v>123</v>
      </c>
      <c r="F13" s="70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/>
      <c r="AI13" s="77"/>
      <c r="AJ13" s="77"/>
      <c r="AK13" s="77"/>
      <c r="AL13" s="77"/>
    </row>
    <row r="14" spans="1:38" ht="13" hidden="1">
      <c r="A14" s="11"/>
      <c r="B14" s="11"/>
      <c r="C14" s="66" t="s">
        <v>124</v>
      </c>
      <c r="D14" s="72">
        <v>0.2</v>
      </c>
      <c r="E14" s="70" t="s">
        <v>61</v>
      </c>
      <c r="F14" s="70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/>
      <c r="AG14" s="77"/>
      <c r="AH14" s="77"/>
      <c r="AI14" s="77"/>
      <c r="AJ14" s="77"/>
      <c r="AK14" s="77"/>
      <c r="AL14" s="77"/>
    </row>
    <row r="15" spans="1:38" ht="13" hidden="1">
      <c r="A15" s="11"/>
      <c r="B15" s="11"/>
      <c r="C15" s="66" t="s">
        <v>125</v>
      </c>
      <c r="D15" s="64">
        <v>200000</v>
      </c>
      <c r="E15" s="70" t="s">
        <v>126</v>
      </c>
      <c r="F15" s="70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/>
      <c r="AI15" s="77"/>
      <c r="AJ15" s="77"/>
      <c r="AK15" s="77"/>
      <c r="AL15" s="77"/>
    </row>
    <row r="16" spans="1:38" ht="13" hidden="1">
      <c r="A16" s="11"/>
      <c r="B16" s="11"/>
      <c r="C16" s="66" t="s">
        <v>127</v>
      </c>
      <c r="D16" s="64">
        <f>D15*42/100</f>
        <v>84000</v>
      </c>
      <c r="E16" s="70" t="s">
        <v>128</v>
      </c>
      <c r="F16" s="70">
        <f>D16/D15</f>
        <v>0.42</v>
      </c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/>
      <c r="AK16" s="77"/>
      <c r="AL16" s="77"/>
    </row>
    <row r="17" spans="1:38" ht="13" hidden="1">
      <c r="A17" s="11"/>
      <c r="B17" s="11"/>
      <c r="C17" s="73" t="s">
        <v>129</v>
      </c>
      <c r="D17" s="74">
        <v>10</v>
      </c>
      <c r="E17" s="75" t="s">
        <v>130</v>
      </c>
      <c r="F17" s="75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/>
      <c r="AK17" s="77"/>
      <c r="AL17" s="77"/>
    </row>
    <row r="18" spans="1:38" ht="13" hidden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7"/>
      <c r="AG18" s="77"/>
      <c r="AH18" s="77"/>
      <c r="AI18" s="77"/>
      <c r="AJ18" s="77"/>
      <c r="AK18" s="77"/>
      <c r="AL18" s="77"/>
    </row>
    <row r="19" spans="1:38" ht="67" customHeight="1">
      <c r="A19" s="82"/>
      <c r="B19" s="82"/>
      <c r="C19" s="82"/>
      <c r="D19" s="82"/>
      <c r="E19" s="82"/>
      <c r="F19" s="82"/>
      <c r="G19" s="82"/>
      <c r="H19" s="82"/>
      <c r="I19" s="82"/>
      <c r="J19" s="82"/>
      <c r="K19" s="82"/>
      <c r="L19" s="82"/>
      <c r="M19" s="82"/>
      <c r="N19" s="82"/>
      <c r="O19" s="82"/>
      <c r="P19" s="82"/>
      <c r="Q19" s="82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77"/>
    </row>
    <row r="20" spans="1:38" ht="30">
      <c r="A20" s="82"/>
      <c r="B20" s="82"/>
      <c r="C20" s="83"/>
      <c r="D20" s="84" t="s">
        <v>0</v>
      </c>
      <c r="E20" s="84" t="s">
        <v>131</v>
      </c>
      <c r="F20" s="83"/>
      <c r="G20" s="83"/>
      <c r="H20" s="85"/>
      <c r="I20" s="85"/>
      <c r="J20" s="85"/>
      <c r="K20" s="85"/>
      <c r="L20" s="85"/>
      <c r="M20" s="85"/>
      <c r="N20" s="85"/>
      <c r="O20" s="85"/>
      <c r="P20" s="85"/>
      <c r="Q20" s="82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77"/>
    </row>
    <row r="21" spans="1:38" ht="30">
      <c r="A21" s="86"/>
      <c r="B21" s="86"/>
      <c r="C21" s="84" t="s">
        <v>132</v>
      </c>
      <c r="D21" s="87"/>
      <c r="E21" s="88">
        <v>1</v>
      </c>
      <c r="F21" s="88">
        <f t="shared" ref="F21:P21" si="1">E21+1</f>
        <v>2</v>
      </c>
      <c r="G21" s="88">
        <f t="shared" si="1"/>
        <v>3</v>
      </c>
      <c r="H21" s="89">
        <f t="shared" si="1"/>
        <v>4</v>
      </c>
      <c r="I21" s="89">
        <f t="shared" si="1"/>
        <v>5</v>
      </c>
      <c r="J21" s="89">
        <f t="shared" si="1"/>
        <v>6</v>
      </c>
      <c r="K21" s="89">
        <f t="shared" si="1"/>
        <v>7</v>
      </c>
      <c r="L21" s="89">
        <f t="shared" si="1"/>
        <v>8</v>
      </c>
      <c r="M21" s="89">
        <f t="shared" si="1"/>
        <v>9</v>
      </c>
      <c r="N21" s="89">
        <f t="shared" si="1"/>
        <v>10</v>
      </c>
      <c r="O21" s="89">
        <f t="shared" si="1"/>
        <v>11</v>
      </c>
      <c r="P21" s="89">
        <f t="shared" si="1"/>
        <v>12</v>
      </c>
      <c r="Q21" s="82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77"/>
    </row>
    <row r="22" spans="1:38" ht="30">
      <c r="A22" s="82"/>
      <c r="B22" s="82"/>
      <c r="C22" s="90" t="s">
        <v>133</v>
      </c>
      <c r="D22" s="91"/>
      <c r="E22" s="91"/>
      <c r="F22" s="91"/>
      <c r="G22" s="91"/>
      <c r="H22" s="91"/>
      <c r="I22" s="91"/>
      <c r="J22" s="91"/>
      <c r="K22" s="91"/>
      <c r="L22" s="91"/>
      <c r="M22" s="91"/>
      <c r="N22" s="91"/>
      <c r="O22" s="91"/>
      <c r="P22" s="91"/>
      <c r="Q22" s="82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77"/>
    </row>
    <row r="23" spans="1:38" ht="30">
      <c r="A23" s="92"/>
      <c r="B23" s="92"/>
      <c r="C23" s="93" t="s">
        <v>134</v>
      </c>
      <c r="D23" s="94">
        <f>D11</f>
        <v>25</v>
      </c>
      <c r="E23" s="81">
        <v>25</v>
      </c>
      <c r="F23" s="81">
        <v>26</v>
      </c>
      <c r="G23" s="81">
        <v>27</v>
      </c>
      <c r="H23" s="81">
        <v>28</v>
      </c>
      <c r="I23" s="81">
        <v>29</v>
      </c>
      <c r="J23" s="81">
        <v>30</v>
      </c>
      <c r="K23" s="81">
        <v>31</v>
      </c>
      <c r="L23" s="81">
        <v>32</v>
      </c>
      <c r="M23" s="81">
        <v>33</v>
      </c>
      <c r="N23" s="81">
        <v>34</v>
      </c>
      <c r="O23" s="81">
        <v>35</v>
      </c>
      <c r="P23" s="81">
        <v>36</v>
      </c>
      <c r="Q23" s="82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77"/>
    </row>
    <row r="24" spans="1:38" ht="30">
      <c r="A24" s="92"/>
      <c r="B24" s="92"/>
      <c r="C24" s="95" t="s">
        <v>135</v>
      </c>
      <c r="D24" s="94">
        <f>D13</f>
        <v>60</v>
      </c>
      <c r="E24" s="81">
        <v>70</v>
      </c>
      <c r="F24" s="81">
        <v>70</v>
      </c>
      <c r="G24" s="81">
        <v>70</v>
      </c>
      <c r="H24" s="81">
        <v>70</v>
      </c>
      <c r="I24" s="81">
        <v>70</v>
      </c>
      <c r="J24" s="81">
        <v>70</v>
      </c>
      <c r="K24" s="81">
        <v>70</v>
      </c>
      <c r="L24" s="81">
        <v>70</v>
      </c>
      <c r="M24" s="81">
        <v>70</v>
      </c>
      <c r="N24" s="81">
        <v>70</v>
      </c>
      <c r="O24" s="81">
        <v>70</v>
      </c>
      <c r="P24" s="81">
        <v>70</v>
      </c>
      <c r="Q24" s="82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77"/>
    </row>
    <row r="25" spans="1:38" ht="30">
      <c r="A25" s="92"/>
      <c r="B25" s="92"/>
      <c r="C25" s="95" t="s">
        <v>136</v>
      </c>
      <c r="D25" s="81">
        <v>100</v>
      </c>
      <c r="E25" s="81">
        <v>200</v>
      </c>
      <c r="F25" s="81">
        <f>E25*2</f>
        <v>400</v>
      </c>
      <c r="G25" s="81">
        <f>F25*2</f>
        <v>800</v>
      </c>
      <c r="H25" s="81">
        <v>800</v>
      </c>
      <c r="I25" s="81">
        <v>800</v>
      </c>
      <c r="J25" s="81">
        <v>800</v>
      </c>
      <c r="K25" s="81">
        <v>800</v>
      </c>
      <c r="L25" s="81">
        <v>800</v>
      </c>
      <c r="M25" s="81">
        <v>800</v>
      </c>
      <c r="N25" s="81">
        <v>800</v>
      </c>
      <c r="O25" s="81">
        <v>800</v>
      </c>
      <c r="P25" s="81">
        <v>800</v>
      </c>
      <c r="Q25" s="82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77"/>
    </row>
    <row r="26" spans="1:38" ht="9.75" customHeight="1">
      <c r="A26" s="82"/>
      <c r="B26" s="82"/>
      <c r="C26" s="96"/>
      <c r="D26" s="91"/>
      <c r="E26" s="91"/>
      <c r="F26" s="91"/>
      <c r="G26" s="91"/>
      <c r="H26" s="91"/>
      <c r="I26" s="91"/>
      <c r="J26" s="91"/>
      <c r="K26" s="91"/>
      <c r="L26" s="91"/>
      <c r="M26" s="91"/>
      <c r="N26" s="91"/>
      <c r="O26" s="91"/>
      <c r="P26" s="91"/>
      <c r="Q26" s="82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77"/>
    </row>
    <row r="27" spans="1:38" ht="30">
      <c r="A27" s="82"/>
      <c r="B27" s="82"/>
      <c r="C27" s="90" t="s">
        <v>137</v>
      </c>
      <c r="D27" s="91"/>
      <c r="E27" s="91"/>
      <c r="F27" s="91"/>
      <c r="G27" s="91"/>
      <c r="H27" s="91"/>
      <c r="I27" s="91"/>
      <c r="J27" s="91"/>
      <c r="K27" s="91"/>
      <c r="L27" s="91"/>
      <c r="M27" s="91"/>
      <c r="N27" s="91"/>
      <c r="O27" s="91"/>
      <c r="P27" s="91"/>
      <c r="Q27" s="82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77"/>
    </row>
    <row r="28" spans="1:38" ht="30">
      <c r="A28" s="82"/>
      <c r="B28" s="82"/>
      <c r="C28" s="95" t="s">
        <v>138</v>
      </c>
      <c r="D28" s="94">
        <v>100</v>
      </c>
      <c r="E28" s="81">
        <v>110</v>
      </c>
      <c r="F28" s="81">
        <v>110</v>
      </c>
      <c r="G28" s="81">
        <v>110</v>
      </c>
      <c r="H28" s="81">
        <v>110</v>
      </c>
      <c r="I28" s="81">
        <v>110</v>
      </c>
      <c r="J28" s="81">
        <v>110</v>
      </c>
      <c r="K28" s="81">
        <v>110</v>
      </c>
      <c r="L28" s="81">
        <v>110</v>
      </c>
      <c r="M28" s="81">
        <v>110</v>
      </c>
      <c r="N28" s="81">
        <v>110</v>
      </c>
      <c r="O28" s="81">
        <v>110</v>
      </c>
      <c r="P28" s="81">
        <v>110</v>
      </c>
      <c r="Q28" s="82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77"/>
    </row>
    <row r="29" spans="1:38" ht="30">
      <c r="A29" s="82"/>
      <c r="B29" s="82"/>
      <c r="C29" s="95" t="s">
        <v>139</v>
      </c>
      <c r="D29" s="94">
        <f>D9</f>
        <v>3000</v>
      </c>
      <c r="E29" s="94">
        <f t="shared" ref="E29:P29" si="2">$D$29*E28/$D$28</f>
        <v>3300</v>
      </c>
      <c r="F29" s="94">
        <f t="shared" si="2"/>
        <v>3300</v>
      </c>
      <c r="G29" s="94">
        <f t="shared" si="2"/>
        <v>3300</v>
      </c>
      <c r="H29" s="94">
        <f t="shared" si="2"/>
        <v>3300</v>
      </c>
      <c r="I29" s="94">
        <f t="shared" si="2"/>
        <v>3300</v>
      </c>
      <c r="J29" s="94">
        <f t="shared" si="2"/>
        <v>3300</v>
      </c>
      <c r="K29" s="94">
        <f t="shared" si="2"/>
        <v>3300</v>
      </c>
      <c r="L29" s="94">
        <f t="shared" si="2"/>
        <v>3300</v>
      </c>
      <c r="M29" s="94">
        <f t="shared" si="2"/>
        <v>3300</v>
      </c>
      <c r="N29" s="94">
        <f t="shared" si="2"/>
        <v>3300</v>
      </c>
      <c r="O29" s="94">
        <f t="shared" si="2"/>
        <v>3300</v>
      </c>
      <c r="P29" s="94">
        <f t="shared" si="2"/>
        <v>3300</v>
      </c>
      <c r="Q29" s="82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77"/>
    </row>
    <row r="30" spans="1:38" ht="30">
      <c r="A30" s="82"/>
      <c r="B30" s="82"/>
      <c r="C30" s="90" t="s">
        <v>15</v>
      </c>
      <c r="D30" s="91"/>
      <c r="E30" s="91"/>
      <c r="F30" s="91"/>
      <c r="G30" s="91"/>
      <c r="H30" s="91"/>
      <c r="I30" s="91"/>
      <c r="J30" s="91"/>
      <c r="K30" s="91"/>
      <c r="L30" s="91"/>
      <c r="M30" s="91"/>
      <c r="N30" s="91"/>
      <c r="O30" s="91"/>
      <c r="P30" s="91"/>
      <c r="Q30" s="82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77"/>
    </row>
    <row r="31" spans="1:38" ht="30">
      <c r="A31" s="82"/>
      <c r="B31" s="82"/>
      <c r="C31" s="95" t="s">
        <v>140</v>
      </c>
      <c r="D31" s="94">
        <v>0</v>
      </c>
      <c r="E31" s="81">
        <v>-2</v>
      </c>
      <c r="F31" s="81">
        <v>-2</v>
      </c>
      <c r="G31" s="81">
        <v>-2</v>
      </c>
      <c r="H31" s="81">
        <v>-2</v>
      </c>
      <c r="I31" s="81">
        <v>-2</v>
      </c>
      <c r="J31" s="81">
        <v>-2</v>
      </c>
      <c r="K31" s="81">
        <v>-2</v>
      </c>
      <c r="L31" s="81">
        <v>-2</v>
      </c>
      <c r="M31" s="81">
        <v>-2</v>
      </c>
      <c r="N31" s="81">
        <v>-2</v>
      </c>
      <c r="O31" s="81">
        <v>-2</v>
      </c>
      <c r="P31" s="81">
        <v>-2</v>
      </c>
      <c r="Q31" s="82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77"/>
    </row>
    <row r="32" spans="1:38" ht="30" hidden="1">
      <c r="A32" s="82"/>
      <c r="B32" s="82"/>
      <c r="C32" s="95" t="s">
        <v>141</v>
      </c>
      <c r="D32" s="94"/>
      <c r="E32" s="81"/>
      <c r="F32" s="81"/>
      <c r="G32" s="81"/>
      <c r="H32" s="81"/>
      <c r="I32" s="81"/>
      <c r="J32" s="81"/>
      <c r="K32" s="81"/>
      <c r="L32" s="81"/>
      <c r="M32" s="81"/>
      <c r="N32" s="81"/>
      <c r="O32" s="81"/>
      <c r="P32" s="81"/>
      <c r="Q32" s="82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77"/>
    </row>
    <row r="33" spans="1:38" ht="30">
      <c r="A33" s="82"/>
      <c r="B33" s="82"/>
      <c r="C33" s="95" t="s">
        <v>142</v>
      </c>
      <c r="D33" s="94">
        <v>50</v>
      </c>
      <c r="E33" s="81">
        <v>80</v>
      </c>
      <c r="F33" s="81">
        <v>80</v>
      </c>
      <c r="G33" s="81">
        <v>80</v>
      </c>
      <c r="H33" s="81">
        <v>80</v>
      </c>
      <c r="I33" s="81">
        <v>80</v>
      </c>
      <c r="J33" s="81">
        <v>80</v>
      </c>
      <c r="K33" s="81">
        <v>80</v>
      </c>
      <c r="L33" s="81">
        <v>80</v>
      </c>
      <c r="M33" s="81">
        <v>80</v>
      </c>
      <c r="N33" s="81">
        <v>80</v>
      </c>
      <c r="O33" s="81">
        <v>80</v>
      </c>
      <c r="P33" s="81">
        <v>80</v>
      </c>
      <c r="Q33" s="82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77"/>
    </row>
    <row r="34" spans="1:38" ht="13">
      <c r="A34" s="82"/>
      <c r="B34" s="82"/>
      <c r="C34" s="82"/>
      <c r="D34" s="82"/>
      <c r="E34" s="82"/>
      <c r="F34" s="82"/>
      <c r="G34" s="82"/>
      <c r="H34" s="82"/>
      <c r="I34" s="82"/>
      <c r="J34" s="82"/>
      <c r="K34" s="82"/>
      <c r="L34" s="82"/>
      <c r="M34" s="82"/>
      <c r="N34" s="82"/>
      <c r="O34" s="82"/>
      <c r="P34" s="82"/>
      <c r="Q34" s="82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77"/>
    </row>
    <row r="35" spans="1:38" ht="30">
      <c r="A35" s="82"/>
      <c r="B35" s="82"/>
      <c r="C35" s="95" t="s">
        <v>143</v>
      </c>
      <c r="D35" s="97">
        <v>700</v>
      </c>
      <c r="E35" s="95" t="str">
        <f t="shared" ref="E35" si="3">E10</f>
        <v>$LP a month</v>
      </c>
      <c r="F35" s="95"/>
      <c r="G35" s="82"/>
      <c r="H35" s="82"/>
      <c r="I35" s="82"/>
      <c r="J35" s="82"/>
      <c r="K35" s="82"/>
      <c r="L35" s="82"/>
      <c r="M35" s="82"/>
      <c r="N35" s="82"/>
      <c r="O35" s="82"/>
      <c r="P35" s="82"/>
      <c r="Q35" s="82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77"/>
    </row>
    <row r="36" spans="1:38" ht="13">
      <c r="A36" s="82"/>
      <c r="B36" s="82"/>
      <c r="C36" s="98"/>
      <c r="D36" s="82"/>
      <c r="E36" s="82"/>
      <c r="F36" s="82"/>
      <c r="G36" s="82"/>
      <c r="H36" s="82"/>
      <c r="I36" s="82"/>
      <c r="J36" s="82"/>
      <c r="K36" s="82"/>
      <c r="L36" s="82"/>
      <c r="M36" s="82"/>
      <c r="N36" s="82"/>
      <c r="O36" s="82"/>
      <c r="P36" s="82"/>
      <c r="Q36" s="82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77"/>
    </row>
    <row r="37" spans="1:38" ht="13">
      <c r="A37" s="82"/>
      <c r="B37" s="82"/>
      <c r="C37" s="99" t="s">
        <v>144</v>
      </c>
      <c r="D37" s="82"/>
      <c r="E37" s="82"/>
      <c r="F37" s="82"/>
      <c r="G37" s="82"/>
      <c r="H37" s="82"/>
      <c r="I37" s="82"/>
      <c r="J37" s="82"/>
      <c r="K37" s="82"/>
      <c r="L37" s="82"/>
      <c r="M37" s="82"/>
      <c r="N37" s="82"/>
      <c r="O37" s="82"/>
      <c r="P37" s="82"/>
      <c r="Q37" s="82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77"/>
    </row>
    <row r="38" spans="1:38" ht="13">
      <c r="A38" s="82"/>
      <c r="B38" s="82"/>
      <c r="C38" s="99" t="s">
        <v>145</v>
      </c>
      <c r="D38" s="82"/>
      <c r="E38" s="82"/>
      <c r="F38" s="82"/>
      <c r="G38" s="82"/>
      <c r="H38" s="82"/>
      <c r="I38" s="82"/>
      <c r="J38" s="82"/>
      <c r="K38" s="82"/>
      <c r="L38" s="82"/>
      <c r="M38" s="82"/>
      <c r="N38" s="82"/>
      <c r="O38" s="82"/>
      <c r="P38" s="82"/>
      <c r="Q38" s="82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77"/>
    </row>
    <row r="39" spans="1:38" ht="13">
      <c r="A39" s="82"/>
      <c r="B39" s="82"/>
      <c r="C39" s="99" t="s">
        <v>146</v>
      </c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2"/>
      <c r="O39" s="82"/>
      <c r="P39" s="82"/>
      <c r="Q39" s="82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77"/>
    </row>
    <row r="40" spans="1:38" ht="13">
      <c r="A40" s="82"/>
      <c r="B40" s="82"/>
      <c r="C40" s="99" t="s">
        <v>147</v>
      </c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2"/>
      <c r="O40" s="82"/>
      <c r="P40" s="82"/>
      <c r="Q40" s="82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77"/>
    </row>
    <row r="41" spans="1:38" ht="13">
      <c r="A41" s="82"/>
      <c r="B41" s="82"/>
      <c r="C41" s="99" t="s">
        <v>148</v>
      </c>
      <c r="D41" s="82"/>
      <c r="E41" s="82"/>
      <c r="F41" s="82"/>
      <c r="G41" s="82"/>
      <c r="H41" s="82"/>
      <c r="I41" s="82"/>
      <c r="J41" s="82"/>
      <c r="K41" s="82"/>
      <c r="L41" s="82"/>
      <c r="M41" s="82"/>
      <c r="N41" s="82"/>
      <c r="O41" s="82"/>
      <c r="P41" s="82"/>
      <c r="Q41" s="82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77"/>
    </row>
    <row r="42" spans="1:38" ht="13">
      <c r="A42" s="82"/>
      <c r="B42" s="82"/>
      <c r="C42" s="98"/>
      <c r="D42" s="82"/>
      <c r="E42" s="82"/>
      <c r="F42" s="82"/>
      <c r="G42" s="82"/>
      <c r="H42" s="82"/>
      <c r="I42" s="82"/>
      <c r="J42" s="82"/>
      <c r="K42" s="82"/>
      <c r="L42" s="82"/>
      <c r="M42" s="82"/>
      <c r="N42" s="82"/>
      <c r="O42" s="82"/>
      <c r="P42" s="82"/>
      <c r="Q42" s="82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77"/>
    </row>
    <row r="43" spans="1:38" ht="13">
      <c r="A43" s="82"/>
      <c r="B43" s="82"/>
      <c r="C43" s="99" t="s">
        <v>149</v>
      </c>
      <c r="D43" s="82"/>
      <c r="E43" s="82"/>
      <c r="F43" s="82"/>
      <c r="G43" s="82"/>
      <c r="H43" s="82"/>
      <c r="I43" s="82"/>
      <c r="J43" s="82"/>
      <c r="K43" s="82"/>
      <c r="L43" s="82"/>
      <c r="M43" s="82"/>
      <c r="N43" s="82"/>
      <c r="O43" s="82"/>
      <c r="P43" s="82"/>
      <c r="Q43" s="82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77"/>
    </row>
    <row r="44" spans="1:38" ht="13">
      <c r="A44" s="82"/>
      <c r="B44" s="82"/>
      <c r="C44" s="99" t="s">
        <v>150</v>
      </c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2"/>
      <c r="O44" s="82"/>
      <c r="P44" s="82"/>
      <c r="Q44" s="82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77"/>
    </row>
    <row r="45" spans="1:38" ht="13">
      <c r="A45" s="82"/>
      <c r="B45" s="82"/>
      <c r="C45" s="98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  <c r="Q45" s="82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77"/>
    </row>
    <row r="46" spans="1:38" ht="13">
      <c r="A46" s="11"/>
      <c r="B46" s="11"/>
      <c r="C46" s="76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77"/>
    </row>
    <row r="47" spans="1:38" ht="13">
      <c r="A47" s="11"/>
      <c r="B47" s="11"/>
      <c r="C47" s="76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77"/>
    </row>
    <row r="48" spans="1:38" ht="13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77"/>
    </row>
    <row r="49" spans="1:38" ht="13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77"/>
    </row>
    <row r="50" spans="1:38" ht="13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77"/>
    </row>
    <row r="51" spans="1:38" ht="13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77"/>
    </row>
    <row r="52" spans="1:38" ht="13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77"/>
    </row>
    <row r="53" spans="1:38" ht="13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77"/>
    </row>
    <row r="54" spans="1:38" ht="13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77"/>
    </row>
    <row r="55" spans="1:38" ht="13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77"/>
    </row>
    <row r="56" spans="1:38" ht="13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77"/>
    </row>
    <row r="57" spans="1:38" ht="13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77"/>
    </row>
    <row r="58" spans="1:38" ht="13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77"/>
    </row>
    <row r="59" spans="1:38" ht="13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77"/>
    </row>
    <row r="60" spans="1:38" ht="13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77"/>
    </row>
    <row r="61" spans="1:38" ht="13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77"/>
    </row>
    <row r="62" spans="1:38" ht="13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77"/>
    </row>
    <row r="63" spans="1:38" ht="13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77"/>
    </row>
    <row r="64" spans="1:38" ht="13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77"/>
    </row>
    <row r="65" spans="1:38" ht="13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77"/>
    </row>
    <row r="66" spans="1:38" ht="13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77"/>
    </row>
    <row r="67" spans="1:38" ht="13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77"/>
    </row>
    <row r="68" spans="1:38" ht="13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77"/>
    </row>
    <row r="69" spans="1:38" ht="13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77"/>
    </row>
    <row r="70" spans="1:38" ht="13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77"/>
    </row>
    <row r="71" spans="1:38" ht="13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77"/>
    </row>
    <row r="72" spans="1:38" ht="13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77"/>
    </row>
    <row r="73" spans="1:38" ht="13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77"/>
    </row>
    <row r="74" spans="1:38" ht="13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77"/>
    </row>
    <row r="75" spans="1:38" ht="13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77"/>
    </row>
    <row r="76" spans="1:38" ht="13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77"/>
    </row>
    <row r="77" spans="1:38" ht="13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77"/>
    </row>
    <row r="78" spans="1:38" ht="13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77"/>
    </row>
    <row r="79" spans="1:38" ht="13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77"/>
    </row>
    <row r="80" spans="1:38" ht="13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77"/>
    </row>
    <row r="81" spans="1:38" ht="13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77"/>
    </row>
    <row r="82" spans="1:38" ht="13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77"/>
    </row>
    <row r="83" spans="1:38" ht="13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77"/>
    </row>
    <row r="84" spans="1:38" ht="13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77"/>
    </row>
    <row r="85" spans="1:38" ht="13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77"/>
    </row>
    <row r="86" spans="1:38" ht="13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77"/>
    </row>
    <row r="87" spans="1:38" ht="13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77"/>
    </row>
    <row r="88" spans="1:38" ht="13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77"/>
    </row>
    <row r="89" spans="1:38" ht="13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77"/>
    </row>
    <row r="90" spans="1:38" ht="13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77"/>
    </row>
    <row r="91" spans="1:38" ht="13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77"/>
    </row>
    <row r="92" spans="1:38" ht="13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77"/>
    </row>
    <row r="93" spans="1:38" ht="13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77"/>
    </row>
    <row r="94" spans="1:38" ht="13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77"/>
    </row>
    <row r="95" spans="1:38" ht="13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77"/>
    </row>
    <row r="96" spans="1:38" ht="13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77"/>
    </row>
    <row r="97" spans="1:38" ht="13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77"/>
    </row>
    <row r="98" spans="1:38" ht="13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77"/>
    </row>
    <row r="99" spans="1:38" ht="13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77"/>
    </row>
    <row r="100" spans="1:38" ht="13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77"/>
    </row>
    <row r="101" spans="1:38" ht="13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77"/>
    </row>
    <row r="102" spans="1:38" ht="13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77"/>
    </row>
    <row r="103" spans="1:38" ht="13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77"/>
    </row>
    <row r="104" spans="1:38" ht="13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77"/>
    </row>
    <row r="105" spans="1:38" ht="13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77"/>
    </row>
    <row r="106" spans="1:38" ht="13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77"/>
    </row>
    <row r="107" spans="1:38" ht="13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77"/>
    </row>
    <row r="108" spans="1:38" ht="13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77"/>
    </row>
    <row r="109" spans="1:38" ht="13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77"/>
    </row>
    <row r="110" spans="1:38" ht="13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77"/>
    </row>
    <row r="111" spans="1:38" ht="13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77"/>
    </row>
    <row r="112" spans="1:38" ht="13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77"/>
    </row>
    <row r="113" spans="1:38" ht="13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77"/>
    </row>
    <row r="114" spans="1:38" ht="13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77"/>
    </row>
    <row r="115" spans="1:38" ht="13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77"/>
    </row>
    <row r="116" spans="1:38" ht="13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77"/>
    </row>
    <row r="117" spans="1:38" ht="13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77"/>
    </row>
    <row r="118" spans="1:38" ht="13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77"/>
    </row>
    <row r="119" spans="1:38" ht="13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77"/>
    </row>
    <row r="120" spans="1:38" ht="13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77"/>
    </row>
    <row r="121" spans="1:38" ht="13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77"/>
    </row>
    <row r="122" spans="1:38" ht="13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77"/>
    </row>
    <row r="123" spans="1:38" ht="13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77"/>
    </row>
    <row r="124" spans="1:38" ht="13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77"/>
    </row>
    <row r="125" spans="1:38" ht="13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77"/>
    </row>
    <row r="126" spans="1:38" ht="13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77"/>
    </row>
    <row r="127" spans="1:38" ht="13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77"/>
    </row>
    <row r="128" spans="1:38" ht="13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77"/>
    </row>
    <row r="129" spans="1:38" ht="13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77"/>
    </row>
    <row r="130" spans="1:38" ht="13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77"/>
    </row>
    <row r="131" spans="1:38" ht="13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77"/>
    </row>
    <row r="132" spans="1:38" ht="13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77"/>
    </row>
    <row r="133" spans="1:38" ht="13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77"/>
    </row>
    <row r="134" spans="1:38" ht="13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77"/>
    </row>
    <row r="135" spans="1:38" ht="13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77"/>
    </row>
    <row r="136" spans="1:38" ht="13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77"/>
    </row>
    <row r="137" spans="1:38" ht="13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77"/>
    </row>
    <row r="138" spans="1:38" ht="13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77"/>
    </row>
    <row r="139" spans="1:38" ht="13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77"/>
    </row>
    <row r="140" spans="1:38" ht="13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77"/>
    </row>
    <row r="141" spans="1:38" ht="13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77"/>
    </row>
    <row r="142" spans="1:38" ht="13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77"/>
    </row>
    <row r="143" spans="1:38" ht="13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77"/>
    </row>
    <row r="144" spans="1:38" ht="13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77"/>
    </row>
    <row r="145" spans="1:38" ht="13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77"/>
    </row>
    <row r="146" spans="1:38" ht="13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77"/>
    </row>
    <row r="147" spans="1:38" ht="13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77"/>
    </row>
    <row r="148" spans="1:38" ht="13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77"/>
    </row>
    <row r="149" spans="1:38" ht="13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77"/>
    </row>
    <row r="150" spans="1:38" ht="13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77"/>
    </row>
    <row r="151" spans="1:38" ht="13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77"/>
    </row>
    <row r="152" spans="1:38" ht="13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77"/>
    </row>
    <row r="153" spans="1:38" ht="13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77"/>
    </row>
    <row r="154" spans="1:38" ht="13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77"/>
    </row>
    <row r="155" spans="1:38" ht="13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77"/>
    </row>
    <row r="156" spans="1:38" ht="13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77"/>
    </row>
    <row r="157" spans="1:38" ht="13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77"/>
    </row>
    <row r="158" spans="1:38" ht="13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77"/>
    </row>
    <row r="159" spans="1:38" ht="13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77"/>
    </row>
    <row r="160" spans="1:38" ht="13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77"/>
    </row>
    <row r="161" spans="1:38" ht="13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77"/>
    </row>
    <row r="162" spans="1:38" ht="13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77"/>
    </row>
    <row r="163" spans="1:38" ht="13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77"/>
    </row>
    <row r="164" spans="1:38" ht="13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77"/>
    </row>
    <row r="165" spans="1:38" ht="13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77"/>
    </row>
    <row r="166" spans="1:38" ht="13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77"/>
    </row>
    <row r="167" spans="1:38" ht="13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</row>
    <row r="168" spans="1:38" ht="13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</row>
    <row r="169" spans="1:38" ht="13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</row>
    <row r="170" spans="1:38" ht="13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</row>
    <row r="171" spans="1:38" ht="13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</row>
    <row r="172" spans="1:38" ht="13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</row>
    <row r="173" spans="1:38" ht="13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</row>
    <row r="174" spans="1:38" ht="13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</row>
    <row r="175" spans="1:38" ht="13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</row>
    <row r="176" spans="1:38" ht="13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</row>
    <row r="177" spans="1:37" ht="13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</row>
    <row r="178" spans="1:37" ht="13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</row>
    <row r="179" spans="1:37" ht="13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</row>
    <row r="180" spans="1:37" ht="13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</row>
    <row r="181" spans="1:37" ht="13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</row>
    <row r="182" spans="1:37" ht="13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</row>
    <row r="183" spans="1:37" ht="13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</row>
    <row r="184" spans="1:37" ht="13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</row>
    <row r="185" spans="1:37" ht="13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</row>
    <row r="186" spans="1:37" ht="13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11"/>
      <c r="AH186" s="11"/>
      <c r="AI186" s="11"/>
      <c r="AJ186" s="11"/>
      <c r="AK186" s="11"/>
    </row>
    <row r="187" spans="1:37" ht="13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</row>
    <row r="188" spans="1:37" ht="13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</row>
    <row r="189" spans="1:37" ht="13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</row>
    <row r="190" spans="1:37" ht="13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</row>
    <row r="191" spans="1:37" ht="13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</row>
    <row r="192" spans="1:37" ht="13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</row>
    <row r="193" spans="1:37" ht="13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</row>
    <row r="194" spans="1:37" ht="13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</row>
    <row r="195" spans="1:37" ht="13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</row>
    <row r="196" spans="1:37" ht="13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</row>
    <row r="197" spans="1:37" ht="13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</row>
    <row r="198" spans="1:37" ht="13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</row>
    <row r="199" spans="1:37" ht="13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</row>
    <row r="200" spans="1:37" ht="13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</row>
    <row r="201" spans="1:37" ht="13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</row>
    <row r="202" spans="1:37" ht="13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11"/>
      <c r="AH202" s="11"/>
      <c r="AI202" s="11"/>
      <c r="AJ202" s="11"/>
      <c r="AK202" s="11"/>
    </row>
    <row r="203" spans="1:37" ht="13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  <c r="AH203" s="11"/>
      <c r="AI203" s="11"/>
      <c r="AJ203" s="11"/>
      <c r="AK203" s="11"/>
    </row>
    <row r="204" spans="1:37" ht="13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</row>
    <row r="205" spans="1:37" ht="13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11"/>
      <c r="AH205" s="11"/>
      <c r="AI205" s="11"/>
      <c r="AJ205" s="11"/>
      <c r="AK205" s="11"/>
    </row>
    <row r="206" spans="1:37" ht="13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11"/>
      <c r="AH206" s="11"/>
      <c r="AI206" s="11"/>
      <c r="AJ206" s="11"/>
      <c r="AK206" s="11"/>
    </row>
    <row r="207" spans="1:37" ht="13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11"/>
      <c r="AH207" s="11"/>
      <c r="AI207" s="11"/>
      <c r="AJ207" s="11"/>
      <c r="AK207" s="11"/>
    </row>
    <row r="208" spans="1:37" ht="13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</row>
    <row r="209" spans="1:37" ht="13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11"/>
      <c r="AH209" s="11"/>
      <c r="AI209" s="11"/>
      <c r="AJ209" s="11"/>
      <c r="AK209" s="11"/>
    </row>
    <row r="210" spans="1:37" ht="13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</row>
    <row r="211" spans="1:37" ht="13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</row>
    <row r="212" spans="1:37" ht="13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</row>
    <row r="213" spans="1:37" ht="13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</row>
    <row r="214" spans="1:37" ht="13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  <c r="AH214" s="11"/>
      <c r="AI214" s="11"/>
      <c r="AJ214" s="11"/>
      <c r="AK214" s="11"/>
    </row>
    <row r="215" spans="1:37" ht="13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11"/>
      <c r="AH215" s="11"/>
      <c r="AI215" s="11"/>
      <c r="AJ215" s="11"/>
      <c r="AK215" s="11"/>
    </row>
    <row r="216" spans="1:37" ht="13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/>
      <c r="AI216" s="11"/>
      <c r="AJ216" s="11"/>
      <c r="AK216" s="11"/>
    </row>
    <row r="217" spans="1:37" ht="13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11"/>
      <c r="AH217" s="11"/>
      <c r="AI217" s="11"/>
      <c r="AJ217" s="11"/>
      <c r="AK217" s="11"/>
    </row>
    <row r="218" spans="1:37" ht="13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</row>
    <row r="219" spans="1:37" ht="13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  <c r="AH219" s="11"/>
      <c r="AI219" s="11"/>
      <c r="AJ219" s="11"/>
      <c r="AK219" s="11"/>
    </row>
    <row r="220" spans="1:37" ht="13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</row>
    <row r="221" spans="1:37" ht="13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11"/>
      <c r="AH221" s="11"/>
      <c r="AI221" s="11"/>
      <c r="AJ221" s="11"/>
      <c r="AK221" s="11"/>
    </row>
    <row r="222" spans="1:37" ht="13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11"/>
      <c r="AH222" s="11"/>
      <c r="AI222" s="11"/>
      <c r="AJ222" s="11"/>
      <c r="AK222" s="11"/>
    </row>
    <row r="223" spans="1:37" ht="13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11"/>
      <c r="AH223" s="11"/>
      <c r="AI223" s="11"/>
      <c r="AJ223" s="11"/>
      <c r="AK223" s="11"/>
    </row>
    <row r="224" spans="1:37" ht="13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</row>
    <row r="225" spans="1:37" ht="13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11"/>
      <c r="AH225" s="11"/>
      <c r="AI225" s="11"/>
      <c r="AJ225" s="11"/>
      <c r="AK225" s="11"/>
    </row>
    <row r="226" spans="1:37" ht="13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</row>
    <row r="227" spans="1:37" ht="13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11"/>
      <c r="AH227" s="11"/>
      <c r="AI227" s="11"/>
      <c r="AJ227" s="11"/>
      <c r="AK227" s="11"/>
    </row>
    <row r="228" spans="1:37" ht="13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</row>
    <row r="229" spans="1:37" ht="13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11"/>
      <c r="AH229" s="11"/>
      <c r="AI229" s="11"/>
      <c r="AJ229" s="11"/>
      <c r="AK229" s="11"/>
    </row>
    <row r="230" spans="1:37" ht="13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11"/>
      <c r="AH230" s="11"/>
      <c r="AI230" s="11"/>
      <c r="AJ230" s="11"/>
      <c r="AK230" s="11"/>
    </row>
    <row r="231" spans="1:37" ht="13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11"/>
      <c r="AH231" s="11"/>
      <c r="AI231" s="11"/>
      <c r="AJ231" s="11"/>
      <c r="AK231" s="11"/>
    </row>
    <row r="232" spans="1:37" ht="13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  <c r="AH232" s="11"/>
      <c r="AI232" s="11"/>
      <c r="AJ232" s="11"/>
      <c r="AK232" s="11"/>
    </row>
    <row r="233" spans="1:37" ht="13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11"/>
      <c r="AH233" s="11"/>
      <c r="AI233" s="11"/>
      <c r="AJ233" s="11"/>
      <c r="AK233" s="11"/>
    </row>
    <row r="234" spans="1:37" ht="13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11"/>
      <c r="AH234" s="11"/>
      <c r="AI234" s="11"/>
      <c r="AJ234" s="11"/>
      <c r="AK234" s="11"/>
    </row>
    <row r="235" spans="1:37" ht="13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11"/>
      <c r="AH235" s="11"/>
      <c r="AI235" s="11"/>
      <c r="AJ235" s="11"/>
      <c r="AK235" s="11"/>
    </row>
    <row r="236" spans="1:37" ht="13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11"/>
      <c r="AH236" s="11"/>
      <c r="AI236" s="11"/>
      <c r="AJ236" s="11"/>
      <c r="AK236" s="11"/>
    </row>
    <row r="237" spans="1:37" ht="13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11"/>
      <c r="AH237" s="11"/>
      <c r="AI237" s="11"/>
      <c r="AJ237" s="11"/>
      <c r="AK237" s="11"/>
    </row>
    <row r="238" spans="1:37" ht="13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</row>
    <row r="239" spans="1:37" ht="13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11"/>
      <c r="AH239" s="11"/>
      <c r="AI239" s="11"/>
      <c r="AJ239" s="11"/>
      <c r="AK239" s="11"/>
    </row>
    <row r="240" spans="1:37" ht="13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11"/>
      <c r="AH240" s="11"/>
      <c r="AI240" s="11"/>
      <c r="AJ240" s="11"/>
      <c r="AK240" s="11"/>
    </row>
    <row r="241" spans="1:37" ht="13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11"/>
      <c r="AH241" s="11"/>
      <c r="AI241" s="11"/>
      <c r="AJ241" s="11"/>
      <c r="AK241" s="11"/>
    </row>
    <row r="242" spans="1:37" ht="13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11"/>
      <c r="AH242" s="11"/>
      <c r="AI242" s="11"/>
      <c r="AJ242" s="11"/>
      <c r="AK242" s="11"/>
    </row>
    <row r="243" spans="1:37" ht="13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11"/>
      <c r="AH243" s="11"/>
      <c r="AI243" s="11"/>
      <c r="AJ243" s="11"/>
      <c r="AK243" s="11"/>
    </row>
    <row r="244" spans="1:37" ht="13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</row>
    <row r="245" spans="1:37" ht="13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11"/>
      <c r="AH245" s="11"/>
      <c r="AI245" s="11"/>
      <c r="AJ245" s="11"/>
      <c r="AK245" s="11"/>
    </row>
    <row r="246" spans="1:37" ht="13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11"/>
      <c r="AH246" s="11"/>
      <c r="AI246" s="11"/>
      <c r="AJ246" s="11"/>
      <c r="AK246" s="11"/>
    </row>
    <row r="247" spans="1:37" ht="13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11"/>
      <c r="AH247" s="11"/>
      <c r="AI247" s="11"/>
      <c r="AJ247" s="11"/>
      <c r="AK247" s="11"/>
    </row>
    <row r="248" spans="1:37" ht="13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11"/>
      <c r="AH248" s="11"/>
      <c r="AI248" s="11"/>
      <c r="AJ248" s="11"/>
      <c r="AK248" s="11"/>
    </row>
    <row r="249" spans="1:37" ht="13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11"/>
      <c r="AH249" s="11"/>
      <c r="AI249" s="11"/>
      <c r="AJ249" s="11"/>
      <c r="AK249" s="11"/>
    </row>
    <row r="250" spans="1:37" ht="13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</row>
    <row r="251" spans="1:37" ht="13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11"/>
      <c r="AH251" s="11"/>
      <c r="AI251" s="11"/>
      <c r="AJ251" s="11"/>
      <c r="AK251" s="11"/>
    </row>
    <row r="252" spans="1:37" ht="13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11"/>
      <c r="AH252" s="11"/>
      <c r="AI252" s="11"/>
      <c r="AJ252" s="11"/>
      <c r="AK252" s="11"/>
    </row>
    <row r="253" spans="1:37" ht="13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11"/>
      <c r="AH253" s="11"/>
      <c r="AI253" s="11"/>
      <c r="AJ253" s="11"/>
      <c r="AK253" s="11"/>
    </row>
    <row r="254" spans="1:37" ht="13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11"/>
      <c r="AH254" s="11"/>
      <c r="AI254" s="11"/>
      <c r="AJ254" s="11"/>
      <c r="AK254" s="11"/>
    </row>
    <row r="255" spans="1:37" ht="13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11"/>
      <c r="AH255" s="11"/>
      <c r="AI255" s="11"/>
      <c r="AJ255" s="11"/>
      <c r="AK255" s="11"/>
    </row>
    <row r="256" spans="1:37" ht="13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1"/>
      <c r="AH256" s="11"/>
      <c r="AI256" s="11"/>
      <c r="AJ256" s="11"/>
      <c r="AK256" s="11"/>
    </row>
    <row r="257" spans="1:37" ht="13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11"/>
      <c r="AH257" s="11"/>
      <c r="AI257" s="11"/>
      <c r="AJ257" s="11"/>
      <c r="AK257" s="11"/>
    </row>
    <row r="258" spans="1:37" ht="13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11"/>
      <c r="AH258" s="11"/>
      <c r="AI258" s="11"/>
      <c r="AJ258" s="11"/>
      <c r="AK258" s="11"/>
    </row>
    <row r="259" spans="1:37" ht="13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11"/>
      <c r="AH259" s="11"/>
      <c r="AI259" s="11"/>
      <c r="AJ259" s="11"/>
      <c r="AK259" s="11"/>
    </row>
    <row r="260" spans="1:37" ht="13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11"/>
      <c r="AH260" s="11"/>
      <c r="AI260" s="11"/>
      <c r="AJ260" s="11"/>
      <c r="AK260" s="11"/>
    </row>
    <row r="261" spans="1:37" ht="13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11"/>
      <c r="AH261" s="11"/>
      <c r="AI261" s="11"/>
      <c r="AJ261" s="11"/>
      <c r="AK261" s="11"/>
    </row>
    <row r="262" spans="1:37" ht="13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1"/>
      <c r="AH262" s="11"/>
      <c r="AI262" s="11"/>
      <c r="AJ262" s="11"/>
      <c r="AK262" s="11"/>
    </row>
    <row r="263" spans="1:37" ht="13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11"/>
      <c r="AH263" s="11"/>
      <c r="AI263" s="11"/>
      <c r="AJ263" s="11"/>
      <c r="AK263" s="11"/>
    </row>
    <row r="264" spans="1:37" ht="13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11"/>
      <c r="AH264" s="11"/>
      <c r="AI264" s="11"/>
      <c r="AJ264" s="11"/>
      <c r="AK264" s="11"/>
    </row>
    <row r="265" spans="1:37" ht="13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</row>
    <row r="266" spans="1:37" ht="13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1"/>
      <c r="AH266" s="11"/>
      <c r="AI266" s="11"/>
      <c r="AJ266" s="11"/>
      <c r="AK266" s="11"/>
    </row>
    <row r="267" spans="1:37" ht="13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11"/>
      <c r="AH267" s="11"/>
      <c r="AI267" s="11"/>
      <c r="AJ267" s="11"/>
      <c r="AK267" s="11"/>
    </row>
    <row r="268" spans="1:37" ht="13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11"/>
      <c r="AH268" s="11"/>
      <c r="AI268" s="11"/>
      <c r="AJ268" s="11"/>
      <c r="AK268" s="11"/>
    </row>
    <row r="269" spans="1:37" ht="13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11"/>
      <c r="AH269" s="11"/>
      <c r="AI269" s="11"/>
      <c r="AJ269" s="11"/>
      <c r="AK269" s="11"/>
    </row>
    <row r="270" spans="1:37" ht="13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11"/>
      <c r="AH270" s="11"/>
      <c r="AI270" s="11"/>
      <c r="AJ270" s="11"/>
      <c r="AK270" s="11"/>
    </row>
    <row r="271" spans="1:37" ht="13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11"/>
      <c r="AH271" s="11"/>
      <c r="AI271" s="11"/>
      <c r="AJ271" s="11"/>
      <c r="AK271" s="11"/>
    </row>
    <row r="272" spans="1:37" ht="13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11"/>
      <c r="AH272" s="11"/>
      <c r="AI272" s="11"/>
      <c r="AJ272" s="11"/>
      <c r="AK272" s="11"/>
    </row>
    <row r="273" spans="1:37" ht="13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11"/>
      <c r="AH273" s="11"/>
      <c r="AI273" s="11"/>
      <c r="AJ273" s="11"/>
      <c r="AK273" s="11"/>
    </row>
    <row r="274" spans="1:37" ht="13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11"/>
      <c r="AH274" s="11"/>
      <c r="AI274" s="11"/>
      <c r="AJ274" s="11"/>
      <c r="AK274" s="11"/>
    </row>
    <row r="275" spans="1:37" ht="13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</row>
    <row r="276" spans="1:37" ht="13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11"/>
      <c r="AH276" s="11"/>
      <c r="AI276" s="11"/>
      <c r="AJ276" s="11"/>
      <c r="AK276" s="11"/>
    </row>
    <row r="277" spans="1:37" ht="13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</row>
    <row r="278" spans="1:37" ht="13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11"/>
      <c r="AH278" s="11"/>
      <c r="AI278" s="11"/>
      <c r="AJ278" s="11"/>
      <c r="AK278" s="11"/>
    </row>
    <row r="279" spans="1:37" ht="13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11"/>
      <c r="AH279" s="11"/>
      <c r="AI279" s="11"/>
      <c r="AJ279" s="11"/>
      <c r="AK279" s="11"/>
    </row>
    <row r="280" spans="1:37" ht="13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11"/>
      <c r="AH280" s="11"/>
      <c r="AI280" s="11"/>
      <c r="AJ280" s="11"/>
      <c r="AK280" s="11"/>
    </row>
    <row r="281" spans="1:37" ht="13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11"/>
      <c r="AH281" s="11"/>
      <c r="AI281" s="11"/>
      <c r="AJ281" s="11"/>
      <c r="AK281" s="11"/>
    </row>
    <row r="282" spans="1:37" ht="13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11"/>
      <c r="AH282" s="11"/>
      <c r="AI282" s="11"/>
      <c r="AJ282" s="11"/>
      <c r="AK282" s="11"/>
    </row>
    <row r="283" spans="1:37" ht="13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11"/>
      <c r="AH283" s="11"/>
      <c r="AI283" s="11"/>
      <c r="AJ283" s="11"/>
      <c r="AK283" s="11"/>
    </row>
    <row r="284" spans="1:37" ht="13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11"/>
      <c r="AH284" s="11"/>
      <c r="AI284" s="11"/>
      <c r="AJ284" s="11"/>
      <c r="AK284" s="11"/>
    </row>
    <row r="285" spans="1:37" ht="13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11"/>
      <c r="AH285" s="11"/>
      <c r="AI285" s="11"/>
      <c r="AJ285" s="11"/>
      <c r="AK285" s="11"/>
    </row>
    <row r="286" spans="1:37" ht="13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11"/>
      <c r="AH286" s="11"/>
      <c r="AI286" s="11"/>
      <c r="AJ286" s="11"/>
      <c r="AK286" s="11"/>
    </row>
    <row r="287" spans="1:37" ht="13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11"/>
      <c r="AH287" s="11"/>
      <c r="AI287" s="11"/>
      <c r="AJ287" s="11"/>
      <c r="AK287" s="11"/>
    </row>
    <row r="288" spans="1:37" ht="13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11"/>
      <c r="AH288" s="11"/>
      <c r="AI288" s="11"/>
      <c r="AJ288" s="11"/>
      <c r="AK288" s="11"/>
    </row>
    <row r="289" spans="1:37" ht="13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11"/>
      <c r="AH289" s="11"/>
      <c r="AI289" s="11"/>
      <c r="AJ289" s="11"/>
      <c r="AK289" s="11"/>
    </row>
    <row r="290" spans="1:37" ht="13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11"/>
      <c r="AH290" s="11"/>
      <c r="AI290" s="11"/>
      <c r="AJ290" s="11"/>
      <c r="AK290" s="11"/>
    </row>
    <row r="291" spans="1:37" ht="13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11"/>
      <c r="AH291" s="11"/>
      <c r="AI291" s="11"/>
      <c r="AJ291" s="11"/>
      <c r="AK291" s="11"/>
    </row>
    <row r="292" spans="1:37" ht="13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11"/>
      <c r="AD292" s="11"/>
      <c r="AE292" s="11"/>
      <c r="AF292" s="11"/>
      <c r="AG292" s="11"/>
      <c r="AH292" s="11"/>
      <c r="AI292" s="11"/>
      <c r="AJ292" s="11"/>
      <c r="AK292" s="11"/>
    </row>
    <row r="293" spans="1:37" ht="13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11"/>
      <c r="AH293" s="11"/>
      <c r="AI293" s="11"/>
      <c r="AJ293" s="11"/>
      <c r="AK293" s="11"/>
    </row>
    <row r="294" spans="1:37" ht="13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11"/>
      <c r="AH294" s="11"/>
      <c r="AI294" s="11"/>
      <c r="AJ294" s="11"/>
      <c r="AK294" s="11"/>
    </row>
    <row r="295" spans="1:37" ht="13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1"/>
      <c r="AG295" s="11"/>
      <c r="AH295" s="11"/>
      <c r="AI295" s="11"/>
      <c r="AJ295" s="11"/>
      <c r="AK295" s="11"/>
    </row>
    <row r="296" spans="1:37" ht="13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11"/>
      <c r="AH296" s="11"/>
      <c r="AI296" s="11"/>
      <c r="AJ296" s="11"/>
      <c r="AK296" s="11"/>
    </row>
    <row r="297" spans="1:37" ht="13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1"/>
      <c r="AG297" s="11"/>
      <c r="AH297" s="11"/>
      <c r="AI297" s="11"/>
      <c r="AJ297" s="11"/>
      <c r="AK297" s="11"/>
    </row>
    <row r="298" spans="1:37" ht="13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11"/>
      <c r="AH298" s="11"/>
      <c r="AI298" s="11"/>
      <c r="AJ298" s="11"/>
      <c r="AK298" s="11"/>
    </row>
    <row r="299" spans="1:37" ht="13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11"/>
      <c r="AH299" s="11"/>
      <c r="AI299" s="11"/>
      <c r="AJ299" s="11"/>
      <c r="AK299" s="11"/>
    </row>
    <row r="300" spans="1:37" ht="13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11"/>
      <c r="AH300" s="11"/>
      <c r="AI300" s="11"/>
      <c r="AJ300" s="11"/>
      <c r="AK300" s="11"/>
    </row>
    <row r="301" spans="1:37" ht="13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11"/>
      <c r="AH301" s="11"/>
      <c r="AI301" s="11"/>
      <c r="AJ301" s="11"/>
      <c r="AK301" s="11"/>
    </row>
    <row r="302" spans="1:37" ht="13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11"/>
      <c r="AH302" s="11"/>
      <c r="AI302" s="11"/>
      <c r="AJ302" s="11"/>
      <c r="AK302" s="11"/>
    </row>
    <row r="303" spans="1:37" ht="13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11"/>
      <c r="AH303" s="11"/>
      <c r="AI303" s="11"/>
      <c r="AJ303" s="11"/>
      <c r="AK303" s="11"/>
    </row>
    <row r="304" spans="1:37" ht="13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11"/>
      <c r="AH304" s="11"/>
      <c r="AI304" s="11"/>
      <c r="AJ304" s="11"/>
      <c r="AK304" s="11"/>
    </row>
    <row r="305" spans="1:37" ht="13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11"/>
      <c r="AH305" s="11"/>
      <c r="AI305" s="11"/>
      <c r="AJ305" s="11"/>
      <c r="AK305" s="11"/>
    </row>
    <row r="306" spans="1:37" ht="13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11"/>
      <c r="AH306" s="11"/>
      <c r="AI306" s="11"/>
      <c r="AJ306" s="11"/>
      <c r="AK306" s="11"/>
    </row>
    <row r="307" spans="1:37" ht="13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</row>
    <row r="308" spans="1:37" ht="13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11"/>
      <c r="AH308" s="11"/>
      <c r="AI308" s="11"/>
      <c r="AJ308" s="11"/>
      <c r="AK308" s="11"/>
    </row>
    <row r="309" spans="1:37" ht="13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  <c r="AA309" s="11"/>
      <c r="AB309" s="11"/>
      <c r="AC309" s="11"/>
      <c r="AD309" s="11"/>
      <c r="AE309" s="11"/>
      <c r="AF309" s="11"/>
      <c r="AG309" s="11"/>
      <c r="AH309" s="11"/>
      <c r="AI309" s="11"/>
      <c r="AJ309" s="11"/>
      <c r="AK309" s="11"/>
    </row>
    <row r="310" spans="1:37" ht="13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  <c r="AA310" s="11"/>
      <c r="AB310" s="11"/>
      <c r="AC310" s="11"/>
      <c r="AD310" s="11"/>
      <c r="AE310" s="11"/>
      <c r="AF310" s="11"/>
      <c r="AG310" s="11"/>
      <c r="AH310" s="11"/>
      <c r="AI310" s="11"/>
      <c r="AJ310" s="11"/>
      <c r="AK310" s="11"/>
    </row>
    <row r="311" spans="1:37" ht="13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  <c r="AA311" s="11"/>
      <c r="AB311" s="11"/>
      <c r="AC311" s="11"/>
      <c r="AD311" s="11"/>
      <c r="AE311" s="11"/>
      <c r="AF311" s="11"/>
      <c r="AG311" s="11"/>
      <c r="AH311" s="11"/>
      <c r="AI311" s="11"/>
      <c r="AJ311" s="11"/>
      <c r="AK311" s="11"/>
    </row>
    <row r="312" spans="1:37" ht="13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1"/>
      <c r="AE312" s="11"/>
      <c r="AF312" s="11"/>
      <c r="AG312" s="11"/>
      <c r="AH312" s="11"/>
      <c r="AI312" s="11"/>
      <c r="AJ312" s="11"/>
      <c r="AK312" s="11"/>
    </row>
    <row r="313" spans="1:37" ht="13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  <c r="AB313" s="11"/>
      <c r="AC313" s="11"/>
      <c r="AD313" s="11"/>
      <c r="AE313" s="11"/>
      <c r="AF313" s="11"/>
      <c r="AG313" s="11"/>
      <c r="AH313" s="11"/>
      <c r="AI313" s="11"/>
      <c r="AJ313" s="11"/>
      <c r="AK313" s="11"/>
    </row>
    <row r="314" spans="1:37" ht="13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  <c r="AB314" s="11"/>
      <c r="AC314" s="11"/>
      <c r="AD314" s="11"/>
      <c r="AE314" s="11"/>
      <c r="AF314" s="11"/>
      <c r="AG314" s="11"/>
      <c r="AH314" s="11"/>
      <c r="AI314" s="11"/>
      <c r="AJ314" s="11"/>
      <c r="AK314" s="11"/>
    </row>
    <row r="315" spans="1:37" ht="13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</row>
    <row r="316" spans="1:37" ht="13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  <c r="AB316" s="11"/>
      <c r="AC316" s="11"/>
      <c r="AD316" s="11"/>
      <c r="AE316" s="11"/>
      <c r="AF316" s="11"/>
      <c r="AG316" s="11"/>
      <c r="AH316" s="11"/>
      <c r="AI316" s="11"/>
      <c r="AJ316" s="11"/>
      <c r="AK316" s="11"/>
    </row>
    <row r="317" spans="1:37" ht="13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  <c r="AB317" s="11"/>
      <c r="AC317" s="11"/>
      <c r="AD317" s="11"/>
      <c r="AE317" s="11"/>
      <c r="AF317" s="11"/>
      <c r="AG317" s="11"/>
      <c r="AH317" s="11"/>
      <c r="AI317" s="11"/>
      <c r="AJ317" s="11"/>
      <c r="AK317" s="11"/>
    </row>
    <row r="318" spans="1:37" ht="13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11"/>
      <c r="AB318" s="11"/>
      <c r="AC318" s="11"/>
      <c r="AD318" s="11"/>
      <c r="AE318" s="11"/>
      <c r="AF318" s="11"/>
      <c r="AG318" s="11"/>
      <c r="AH318" s="11"/>
      <c r="AI318" s="11"/>
      <c r="AJ318" s="11"/>
      <c r="AK318" s="11"/>
    </row>
    <row r="319" spans="1:37" ht="13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  <c r="AA319" s="11"/>
      <c r="AB319" s="11"/>
      <c r="AC319" s="11"/>
      <c r="AD319" s="11"/>
      <c r="AE319" s="11"/>
      <c r="AF319" s="11"/>
      <c r="AG319" s="11"/>
      <c r="AH319" s="11"/>
      <c r="AI319" s="11"/>
      <c r="AJ319" s="11"/>
      <c r="AK319" s="11"/>
    </row>
    <row r="320" spans="1:37" ht="13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  <c r="AB320" s="11"/>
      <c r="AC320" s="11"/>
      <c r="AD320" s="11"/>
      <c r="AE320" s="11"/>
      <c r="AF320" s="11"/>
      <c r="AG320" s="11"/>
      <c r="AH320" s="11"/>
      <c r="AI320" s="11"/>
      <c r="AJ320" s="11"/>
      <c r="AK320" s="11"/>
    </row>
    <row r="321" spans="1:37" ht="13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  <c r="AA321" s="11"/>
      <c r="AB321" s="11"/>
      <c r="AC321" s="11"/>
      <c r="AD321" s="11"/>
      <c r="AE321" s="11"/>
      <c r="AF321" s="11"/>
      <c r="AG321" s="11"/>
      <c r="AH321" s="11"/>
      <c r="AI321" s="11"/>
      <c r="AJ321" s="11"/>
      <c r="AK321" s="11"/>
    </row>
    <row r="322" spans="1:37" ht="13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  <c r="AA322" s="11"/>
      <c r="AB322" s="11"/>
      <c r="AC322" s="11"/>
      <c r="AD322" s="11"/>
      <c r="AE322" s="11"/>
      <c r="AF322" s="11"/>
      <c r="AG322" s="11"/>
      <c r="AH322" s="11"/>
      <c r="AI322" s="11"/>
      <c r="AJ322" s="11"/>
      <c r="AK322" s="11"/>
    </row>
    <row r="323" spans="1:37" ht="13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  <c r="AA323" s="11"/>
      <c r="AB323" s="11"/>
      <c r="AC323" s="11"/>
      <c r="AD323" s="11"/>
      <c r="AE323" s="11"/>
      <c r="AF323" s="11"/>
      <c r="AG323" s="11"/>
      <c r="AH323" s="11"/>
      <c r="AI323" s="11"/>
      <c r="AJ323" s="11"/>
      <c r="AK323" s="11"/>
    </row>
    <row r="324" spans="1:37" ht="13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1"/>
      <c r="AJ324" s="11"/>
      <c r="AK324" s="11"/>
    </row>
    <row r="325" spans="1:37" ht="13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1"/>
      <c r="AE325" s="11"/>
      <c r="AF325" s="11"/>
      <c r="AG325" s="11"/>
      <c r="AH325" s="11"/>
      <c r="AI325" s="11"/>
      <c r="AJ325" s="11"/>
      <c r="AK325" s="11"/>
    </row>
    <row r="326" spans="1:37" ht="13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  <c r="AA326" s="11"/>
      <c r="AB326" s="11"/>
      <c r="AC326" s="11"/>
      <c r="AD326" s="11"/>
      <c r="AE326" s="11"/>
      <c r="AF326" s="11"/>
      <c r="AG326" s="11"/>
      <c r="AH326" s="11"/>
      <c r="AI326" s="11"/>
      <c r="AJ326" s="11"/>
      <c r="AK326" s="11"/>
    </row>
    <row r="327" spans="1:37" ht="13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1"/>
      <c r="AE327" s="11"/>
      <c r="AF327" s="11"/>
      <c r="AG327" s="11"/>
      <c r="AH327" s="11"/>
      <c r="AI327" s="11"/>
      <c r="AJ327" s="11"/>
      <c r="AK327" s="11"/>
    </row>
    <row r="328" spans="1:37" ht="13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  <c r="AA328" s="11"/>
      <c r="AB328" s="11"/>
      <c r="AC328" s="11"/>
      <c r="AD328" s="11"/>
      <c r="AE328" s="11"/>
      <c r="AF328" s="11"/>
      <c r="AG328" s="11"/>
      <c r="AH328" s="11"/>
      <c r="AI328" s="11"/>
      <c r="AJ328" s="11"/>
      <c r="AK328" s="11"/>
    </row>
    <row r="329" spans="1:37" ht="13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  <c r="AA329" s="11"/>
      <c r="AB329" s="11"/>
      <c r="AC329" s="11"/>
      <c r="AD329" s="11"/>
      <c r="AE329" s="11"/>
      <c r="AF329" s="11"/>
      <c r="AG329" s="11"/>
      <c r="AH329" s="11"/>
      <c r="AI329" s="11"/>
      <c r="AJ329" s="11"/>
      <c r="AK329" s="11"/>
    </row>
    <row r="330" spans="1:37" ht="13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  <c r="AA330" s="11"/>
      <c r="AB330" s="11"/>
      <c r="AC330" s="11"/>
      <c r="AD330" s="11"/>
      <c r="AE330" s="11"/>
      <c r="AF330" s="11"/>
      <c r="AG330" s="11"/>
      <c r="AH330" s="11"/>
      <c r="AI330" s="11"/>
      <c r="AJ330" s="11"/>
      <c r="AK330" s="11"/>
    </row>
    <row r="331" spans="1:37" ht="13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  <c r="AA331" s="11"/>
      <c r="AB331" s="11"/>
      <c r="AC331" s="11"/>
      <c r="AD331" s="11"/>
      <c r="AE331" s="11"/>
      <c r="AF331" s="11"/>
      <c r="AG331" s="11"/>
      <c r="AH331" s="11"/>
      <c r="AI331" s="11"/>
      <c r="AJ331" s="11"/>
      <c r="AK331" s="11"/>
    </row>
    <row r="332" spans="1:37" ht="13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  <c r="AA332" s="11"/>
      <c r="AB332" s="11"/>
      <c r="AC332" s="11"/>
      <c r="AD332" s="11"/>
      <c r="AE332" s="11"/>
      <c r="AF332" s="11"/>
      <c r="AG332" s="11"/>
      <c r="AH332" s="11"/>
      <c r="AI332" s="11"/>
      <c r="AJ332" s="11"/>
      <c r="AK332" s="11"/>
    </row>
    <row r="333" spans="1:37" ht="13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  <c r="AA333" s="11"/>
      <c r="AB333" s="11"/>
      <c r="AC333" s="11"/>
      <c r="AD333" s="11"/>
      <c r="AE333" s="11"/>
      <c r="AF333" s="11"/>
      <c r="AG333" s="11"/>
      <c r="AH333" s="11"/>
      <c r="AI333" s="11"/>
      <c r="AJ333" s="11"/>
      <c r="AK333" s="11"/>
    </row>
    <row r="334" spans="1:37" ht="13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  <c r="AA334" s="11"/>
      <c r="AB334" s="11"/>
      <c r="AC334" s="11"/>
      <c r="AD334" s="11"/>
      <c r="AE334" s="11"/>
      <c r="AF334" s="11"/>
      <c r="AG334" s="11"/>
      <c r="AH334" s="11"/>
      <c r="AI334" s="11"/>
      <c r="AJ334" s="11"/>
      <c r="AK334" s="11"/>
    </row>
    <row r="335" spans="1:37" ht="13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</row>
    <row r="336" spans="1:37" ht="13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  <c r="AA336" s="11"/>
      <c r="AB336" s="11"/>
      <c r="AC336" s="11"/>
      <c r="AD336" s="11"/>
      <c r="AE336" s="11"/>
      <c r="AF336" s="11"/>
      <c r="AG336" s="11"/>
      <c r="AH336" s="11"/>
      <c r="AI336" s="11"/>
      <c r="AJ336" s="11"/>
      <c r="AK336" s="11"/>
    </row>
    <row r="337" spans="1:37" ht="13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  <c r="AC337" s="11"/>
      <c r="AD337" s="11"/>
      <c r="AE337" s="11"/>
      <c r="AF337" s="11"/>
      <c r="AG337" s="11"/>
      <c r="AH337" s="11"/>
      <c r="AI337" s="11"/>
      <c r="AJ337" s="11"/>
      <c r="AK337" s="11"/>
    </row>
    <row r="338" spans="1:37" ht="13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  <c r="AA338" s="11"/>
      <c r="AB338" s="11"/>
      <c r="AC338" s="11"/>
      <c r="AD338" s="11"/>
      <c r="AE338" s="11"/>
      <c r="AF338" s="11"/>
      <c r="AG338" s="11"/>
      <c r="AH338" s="11"/>
      <c r="AI338" s="11"/>
      <c r="AJ338" s="11"/>
      <c r="AK338" s="11"/>
    </row>
    <row r="339" spans="1:37" ht="13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  <c r="AA339" s="11"/>
      <c r="AB339" s="11"/>
      <c r="AC339" s="11"/>
      <c r="AD339" s="11"/>
      <c r="AE339" s="11"/>
      <c r="AF339" s="11"/>
      <c r="AG339" s="11"/>
      <c r="AH339" s="11"/>
      <c r="AI339" s="11"/>
      <c r="AJ339" s="11"/>
      <c r="AK339" s="11"/>
    </row>
    <row r="340" spans="1:37" ht="13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  <c r="AA340" s="11"/>
      <c r="AB340" s="11"/>
      <c r="AC340" s="11"/>
      <c r="AD340" s="11"/>
      <c r="AE340" s="11"/>
      <c r="AF340" s="11"/>
      <c r="AG340" s="11"/>
      <c r="AH340" s="11"/>
      <c r="AI340" s="11"/>
      <c r="AJ340" s="11"/>
      <c r="AK340" s="11"/>
    </row>
    <row r="341" spans="1:37" ht="13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  <c r="AA341" s="11"/>
      <c r="AB341" s="11"/>
      <c r="AC341" s="11"/>
      <c r="AD341" s="11"/>
      <c r="AE341" s="11"/>
      <c r="AF341" s="11"/>
      <c r="AG341" s="11"/>
      <c r="AH341" s="11"/>
      <c r="AI341" s="11"/>
      <c r="AJ341" s="11"/>
      <c r="AK341" s="11"/>
    </row>
    <row r="342" spans="1:37" ht="13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  <c r="AC342" s="11"/>
      <c r="AD342" s="11"/>
      <c r="AE342" s="11"/>
      <c r="AF342" s="11"/>
      <c r="AG342" s="11"/>
      <c r="AH342" s="11"/>
      <c r="AI342" s="11"/>
      <c r="AJ342" s="11"/>
      <c r="AK342" s="11"/>
    </row>
    <row r="343" spans="1:37" ht="13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  <c r="AA343" s="11"/>
      <c r="AB343" s="11"/>
      <c r="AC343" s="11"/>
      <c r="AD343" s="11"/>
      <c r="AE343" s="11"/>
      <c r="AF343" s="11"/>
      <c r="AG343" s="11"/>
      <c r="AH343" s="11"/>
      <c r="AI343" s="11"/>
      <c r="AJ343" s="11"/>
      <c r="AK343" s="11"/>
    </row>
    <row r="344" spans="1:37" ht="13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  <c r="AA344" s="11"/>
      <c r="AB344" s="11"/>
      <c r="AC344" s="11"/>
      <c r="AD344" s="11"/>
      <c r="AE344" s="11"/>
      <c r="AF344" s="11"/>
      <c r="AG344" s="11"/>
      <c r="AH344" s="11"/>
      <c r="AI344" s="11"/>
      <c r="AJ344" s="11"/>
      <c r="AK344" s="11"/>
    </row>
    <row r="345" spans="1:37" ht="13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  <c r="AA345" s="11"/>
      <c r="AB345" s="11"/>
      <c r="AC345" s="11"/>
      <c r="AD345" s="11"/>
      <c r="AE345" s="11"/>
      <c r="AF345" s="11"/>
      <c r="AG345" s="11"/>
      <c r="AH345" s="11"/>
      <c r="AI345" s="11"/>
      <c r="AJ345" s="11"/>
      <c r="AK345" s="11"/>
    </row>
    <row r="346" spans="1:37" ht="13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  <c r="AA346" s="11"/>
      <c r="AB346" s="11"/>
      <c r="AC346" s="11"/>
      <c r="AD346" s="11"/>
      <c r="AE346" s="11"/>
      <c r="AF346" s="11"/>
      <c r="AG346" s="11"/>
      <c r="AH346" s="11"/>
      <c r="AI346" s="11"/>
      <c r="AJ346" s="11"/>
      <c r="AK346" s="11"/>
    </row>
    <row r="347" spans="1:37" ht="13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  <c r="AA347" s="11"/>
      <c r="AB347" s="11"/>
      <c r="AC347" s="11"/>
      <c r="AD347" s="11"/>
      <c r="AE347" s="11"/>
      <c r="AF347" s="11"/>
      <c r="AG347" s="11"/>
      <c r="AH347" s="11"/>
      <c r="AI347" s="11"/>
      <c r="AJ347" s="11"/>
      <c r="AK347" s="11"/>
    </row>
    <row r="348" spans="1:37" ht="13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  <c r="AA348" s="11"/>
      <c r="AB348" s="11"/>
      <c r="AC348" s="11"/>
      <c r="AD348" s="11"/>
      <c r="AE348" s="11"/>
      <c r="AF348" s="11"/>
      <c r="AG348" s="11"/>
      <c r="AH348" s="11"/>
      <c r="AI348" s="11"/>
      <c r="AJ348" s="11"/>
      <c r="AK348" s="11"/>
    </row>
    <row r="349" spans="1:37" ht="13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  <c r="AA349" s="11"/>
      <c r="AB349" s="11"/>
      <c r="AC349" s="11"/>
      <c r="AD349" s="11"/>
      <c r="AE349" s="11"/>
      <c r="AF349" s="11"/>
      <c r="AG349" s="11"/>
      <c r="AH349" s="11"/>
      <c r="AI349" s="11"/>
      <c r="AJ349" s="11"/>
      <c r="AK349" s="11"/>
    </row>
    <row r="350" spans="1:37" ht="13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  <c r="AA350" s="11"/>
      <c r="AB350" s="11"/>
      <c r="AC350" s="11"/>
      <c r="AD350" s="11"/>
      <c r="AE350" s="11"/>
      <c r="AF350" s="11"/>
      <c r="AG350" s="11"/>
      <c r="AH350" s="11"/>
      <c r="AI350" s="11"/>
      <c r="AJ350" s="11"/>
      <c r="AK350" s="11"/>
    </row>
    <row r="351" spans="1:37" ht="13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  <c r="AA351" s="11"/>
      <c r="AB351" s="11"/>
      <c r="AC351" s="11"/>
      <c r="AD351" s="11"/>
      <c r="AE351" s="11"/>
      <c r="AF351" s="11"/>
      <c r="AG351" s="11"/>
      <c r="AH351" s="11"/>
      <c r="AI351" s="11"/>
      <c r="AJ351" s="11"/>
      <c r="AK351" s="11"/>
    </row>
    <row r="352" spans="1:37" ht="13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  <c r="AA352" s="11"/>
      <c r="AB352" s="11"/>
      <c r="AC352" s="11"/>
      <c r="AD352" s="11"/>
      <c r="AE352" s="11"/>
      <c r="AF352" s="11"/>
      <c r="AG352" s="11"/>
      <c r="AH352" s="11"/>
      <c r="AI352" s="11"/>
      <c r="AJ352" s="11"/>
      <c r="AK352" s="11"/>
    </row>
    <row r="353" spans="1:37" ht="13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  <c r="AA353" s="11"/>
      <c r="AB353" s="11"/>
      <c r="AC353" s="11"/>
      <c r="AD353" s="11"/>
      <c r="AE353" s="11"/>
      <c r="AF353" s="11"/>
      <c r="AG353" s="11"/>
      <c r="AH353" s="11"/>
      <c r="AI353" s="11"/>
      <c r="AJ353" s="11"/>
      <c r="AK353" s="11"/>
    </row>
    <row r="354" spans="1:37" ht="13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  <c r="AA354" s="11"/>
      <c r="AB354" s="11"/>
      <c r="AC354" s="11"/>
      <c r="AD354" s="11"/>
      <c r="AE354" s="11"/>
      <c r="AF354" s="11"/>
      <c r="AG354" s="11"/>
      <c r="AH354" s="11"/>
      <c r="AI354" s="11"/>
      <c r="AJ354" s="11"/>
      <c r="AK354" s="11"/>
    </row>
    <row r="355" spans="1:37" ht="13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</row>
    <row r="356" spans="1:37" ht="13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  <c r="AA356" s="11"/>
      <c r="AB356" s="11"/>
      <c r="AC356" s="11"/>
      <c r="AD356" s="11"/>
      <c r="AE356" s="11"/>
      <c r="AF356" s="11"/>
      <c r="AG356" s="11"/>
      <c r="AH356" s="11"/>
      <c r="AI356" s="11"/>
      <c r="AJ356" s="11"/>
      <c r="AK356" s="11"/>
    </row>
    <row r="357" spans="1:37" ht="13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  <c r="AB357" s="11"/>
      <c r="AC357" s="11"/>
      <c r="AD357" s="11"/>
      <c r="AE357" s="11"/>
      <c r="AF357" s="11"/>
      <c r="AG357" s="11"/>
      <c r="AH357" s="11"/>
      <c r="AI357" s="11"/>
      <c r="AJ357" s="11"/>
      <c r="AK357" s="11"/>
    </row>
    <row r="358" spans="1:37" ht="13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  <c r="AC358" s="11"/>
      <c r="AD358" s="11"/>
      <c r="AE358" s="11"/>
      <c r="AF358" s="11"/>
      <c r="AG358" s="11"/>
      <c r="AH358" s="11"/>
      <c r="AI358" s="11"/>
      <c r="AJ358" s="11"/>
      <c r="AK358" s="11"/>
    </row>
    <row r="359" spans="1:37" ht="13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  <c r="AB359" s="11"/>
      <c r="AC359" s="11"/>
      <c r="AD359" s="11"/>
      <c r="AE359" s="11"/>
      <c r="AF359" s="11"/>
      <c r="AG359" s="11"/>
      <c r="AH359" s="11"/>
      <c r="AI359" s="11"/>
      <c r="AJ359" s="11"/>
      <c r="AK359" s="11"/>
    </row>
    <row r="360" spans="1:37" ht="13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  <c r="AC360" s="11"/>
      <c r="AD360" s="11"/>
      <c r="AE360" s="11"/>
      <c r="AF360" s="11"/>
      <c r="AG360" s="11"/>
      <c r="AH360" s="11"/>
      <c r="AI360" s="11"/>
      <c r="AJ360" s="11"/>
      <c r="AK360" s="11"/>
    </row>
    <row r="361" spans="1:37" ht="13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  <c r="AC361" s="11"/>
      <c r="AD361" s="11"/>
      <c r="AE361" s="11"/>
      <c r="AF361" s="11"/>
      <c r="AG361" s="11"/>
      <c r="AH361" s="11"/>
      <c r="AI361" s="11"/>
      <c r="AJ361" s="11"/>
      <c r="AK361" s="11"/>
    </row>
    <row r="362" spans="1:37" ht="13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  <c r="AC362" s="11"/>
      <c r="AD362" s="11"/>
      <c r="AE362" s="11"/>
      <c r="AF362" s="11"/>
      <c r="AG362" s="11"/>
      <c r="AH362" s="11"/>
      <c r="AI362" s="11"/>
      <c r="AJ362" s="11"/>
      <c r="AK362" s="11"/>
    </row>
    <row r="363" spans="1:37" ht="13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1"/>
      <c r="AE363" s="11"/>
      <c r="AF363" s="11"/>
      <c r="AG363" s="11"/>
      <c r="AH363" s="11"/>
      <c r="AI363" s="11"/>
      <c r="AJ363" s="11"/>
      <c r="AK363" s="11"/>
    </row>
    <row r="364" spans="1:37" ht="13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11"/>
      <c r="AB364" s="11"/>
      <c r="AC364" s="11"/>
      <c r="AD364" s="11"/>
      <c r="AE364" s="11"/>
      <c r="AF364" s="11"/>
      <c r="AG364" s="11"/>
      <c r="AH364" s="11"/>
      <c r="AI364" s="11"/>
      <c r="AJ364" s="11"/>
      <c r="AK364" s="11"/>
    </row>
    <row r="365" spans="1:37" ht="13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  <c r="AA365" s="11"/>
      <c r="AB365" s="11"/>
      <c r="AC365" s="11"/>
      <c r="AD365" s="11"/>
      <c r="AE365" s="11"/>
      <c r="AF365" s="11"/>
      <c r="AG365" s="11"/>
      <c r="AH365" s="11"/>
      <c r="AI365" s="11"/>
      <c r="AJ365" s="11"/>
      <c r="AK365" s="11"/>
    </row>
    <row r="366" spans="1:37" ht="13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  <c r="AA366" s="11"/>
      <c r="AB366" s="11"/>
      <c r="AC366" s="11"/>
      <c r="AD366" s="11"/>
      <c r="AE366" s="11"/>
      <c r="AF366" s="11"/>
      <c r="AG366" s="11"/>
      <c r="AH366" s="11"/>
      <c r="AI366" s="11"/>
      <c r="AJ366" s="11"/>
      <c r="AK366" s="11"/>
    </row>
    <row r="367" spans="1:37" ht="13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  <c r="AC367" s="11"/>
      <c r="AD367" s="11"/>
      <c r="AE367" s="11"/>
      <c r="AF367" s="11"/>
      <c r="AG367" s="11"/>
      <c r="AH367" s="11"/>
      <c r="AI367" s="11"/>
      <c r="AJ367" s="11"/>
      <c r="AK367" s="11"/>
    </row>
    <row r="368" spans="1:37" ht="13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1"/>
      <c r="AE368" s="11"/>
      <c r="AF368" s="11"/>
      <c r="AG368" s="11"/>
      <c r="AH368" s="11"/>
      <c r="AI368" s="11"/>
      <c r="AJ368" s="11"/>
      <c r="AK368" s="11"/>
    </row>
    <row r="369" spans="1:37" ht="13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  <c r="AC369" s="11"/>
      <c r="AD369" s="11"/>
      <c r="AE369" s="11"/>
      <c r="AF369" s="11"/>
      <c r="AG369" s="11"/>
      <c r="AH369" s="11"/>
      <c r="AI369" s="11"/>
      <c r="AJ369" s="11"/>
      <c r="AK369" s="11"/>
    </row>
    <row r="370" spans="1:37" ht="13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  <c r="AC370" s="11"/>
      <c r="AD370" s="11"/>
      <c r="AE370" s="11"/>
      <c r="AF370" s="11"/>
      <c r="AG370" s="11"/>
      <c r="AH370" s="11"/>
      <c r="AI370" s="11"/>
      <c r="AJ370" s="11"/>
      <c r="AK370" s="11"/>
    </row>
    <row r="371" spans="1:37" ht="13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  <c r="AA371" s="11"/>
      <c r="AB371" s="11"/>
      <c r="AC371" s="11"/>
      <c r="AD371" s="11"/>
      <c r="AE371" s="11"/>
      <c r="AF371" s="11"/>
      <c r="AG371" s="11"/>
      <c r="AH371" s="11"/>
      <c r="AI371" s="11"/>
      <c r="AJ371" s="11"/>
      <c r="AK371" s="11"/>
    </row>
    <row r="372" spans="1:37" ht="13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  <c r="AA372" s="11"/>
      <c r="AB372" s="11"/>
      <c r="AC372" s="11"/>
      <c r="AD372" s="11"/>
      <c r="AE372" s="11"/>
      <c r="AF372" s="11"/>
      <c r="AG372" s="11"/>
      <c r="AH372" s="11"/>
      <c r="AI372" s="11"/>
      <c r="AJ372" s="11"/>
      <c r="AK372" s="11"/>
    </row>
    <row r="373" spans="1:37" ht="13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</row>
    <row r="374" spans="1:37" ht="13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  <c r="AA374" s="11"/>
      <c r="AB374" s="11"/>
      <c r="AC374" s="11"/>
      <c r="AD374" s="11"/>
      <c r="AE374" s="11"/>
      <c r="AF374" s="11"/>
      <c r="AG374" s="11"/>
      <c r="AH374" s="11"/>
      <c r="AI374" s="11"/>
      <c r="AJ374" s="11"/>
      <c r="AK374" s="11"/>
    </row>
    <row r="375" spans="1:37" ht="13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11"/>
      <c r="AB375" s="11"/>
      <c r="AC375" s="11"/>
      <c r="AD375" s="11"/>
      <c r="AE375" s="11"/>
      <c r="AF375" s="11"/>
      <c r="AG375" s="11"/>
      <c r="AH375" s="11"/>
      <c r="AI375" s="11"/>
      <c r="AJ375" s="11"/>
      <c r="AK375" s="11"/>
    </row>
    <row r="376" spans="1:37" ht="13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11"/>
      <c r="AB376" s="11"/>
      <c r="AC376" s="11"/>
      <c r="AD376" s="11"/>
      <c r="AE376" s="11"/>
      <c r="AF376" s="11"/>
      <c r="AG376" s="11"/>
      <c r="AH376" s="11"/>
      <c r="AI376" s="11"/>
      <c r="AJ376" s="11"/>
      <c r="AK376" s="11"/>
    </row>
    <row r="377" spans="1:37" ht="13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1"/>
      <c r="AE377" s="11"/>
      <c r="AF377" s="11"/>
      <c r="AG377" s="11"/>
      <c r="AH377" s="11"/>
      <c r="AI377" s="11"/>
      <c r="AJ377" s="11"/>
      <c r="AK377" s="11"/>
    </row>
    <row r="378" spans="1:37" ht="13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  <c r="AC378" s="11"/>
      <c r="AD378" s="11"/>
      <c r="AE378" s="11"/>
      <c r="AF378" s="11"/>
      <c r="AG378" s="11"/>
      <c r="AH378" s="11"/>
      <c r="AI378" s="11"/>
      <c r="AJ378" s="11"/>
      <c r="AK378" s="11"/>
    </row>
    <row r="379" spans="1:37" ht="13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1"/>
      <c r="AE379" s="11"/>
      <c r="AF379" s="11"/>
      <c r="AG379" s="11"/>
      <c r="AH379" s="11"/>
      <c r="AI379" s="11"/>
      <c r="AJ379" s="11"/>
      <c r="AK379" s="11"/>
    </row>
    <row r="380" spans="1:37" ht="13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1"/>
      <c r="AE380" s="11"/>
      <c r="AF380" s="11"/>
      <c r="AG380" s="11"/>
      <c r="AH380" s="11"/>
      <c r="AI380" s="11"/>
      <c r="AJ380" s="11"/>
      <c r="AK380" s="11"/>
    </row>
    <row r="381" spans="1:37" ht="13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1"/>
      <c r="AE381" s="11"/>
      <c r="AF381" s="11"/>
      <c r="AG381" s="11"/>
      <c r="AH381" s="11"/>
      <c r="AI381" s="11"/>
      <c r="AJ381" s="11"/>
      <c r="AK381" s="11"/>
    </row>
    <row r="382" spans="1:37" ht="13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1"/>
      <c r="AE382" s="11"/>
      <c r="AF382" s="11"/>
      <c r="AG382" s="11"/>
      <c r="AH382" s="11"/>
      <c r="AI382" s="11"/>
      <c r="AJ382" s="11"/>
      <c r="AK382" s="11"/>
    </row>
    <row r="383" spans="1:37" ht="13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  <c r="AB383" s="11"/>
      <c r="AC383" s="11"/>
      <c r="AD383" s="11"/>
      <c r="AE383" s="11"/>
      <c r="AF383" s="11"/>
      <c r="AG383" s="11"/>
      <c r="AH383" s="11"/>
      <c r="AI383" s="11"/>
      <c r="AJ383" s="11"/>
      <c r="AK383" s="11"/>
    </row>
    <row r="384" spans="1:37" ht="13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1"/>
      <c r="AE384" s="11"/>
      <c r="AF384" s="11"/>
      <c r="AG384" s="11"/>
      <c r="AH384" s="11"/>
      <c r="AI384" s="11"/>
      <c r="AJ384" s="11"/>
      <c r="AK384" s="11"/>
    </row>
    <row r="385" spans="1:37" ht="13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  <c r="AB385" s="11"/>
      <c r="AC385" s="11"/>
      <c r="AD385" s="11"/>
      <c r="AE385" s="11"/>
      <c r="AF385" s="11"/>
      <c r="AG385" s="11"/>
      <c r="AH385" s="11"/>
      <c r="AI385" s="11"/>
      <c r="AJ385" s="11"/>
      <c r="AK385" s="11"/>
    </row>
    <row r="386" spans="1:37" ht="13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  <c r="AA386" s="11"/>
      <c r="AB386" s="11"/>
      <c r="AC386" s="11"/>
      <c r="AD386" s="11"/>
      <c r="AE386" s="11"/>
      <c r="AF386" s="11"/>
      <c r="AG386" s="11"/>
      <c r="AH386" s="11"/>
      <c r="AI386" s="11"/>
      <c r="AJ386" s="11"/>
      <c r="AK386" s="11"/>
    </row>
    <row r="387" spans="1:37" ht="13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  <c r="AA387" s="11"/>
      <c r="AB387" s="11"/>
      <c r="AC387" s="11"/>
      <c r="AD387" s="11"/>
      <c r="AE387" s="11"/>
      <c r="AF387" s="11"/>
      <c r="AG387" s="11"/>
      <c r="AH387" s="11"/>
      <c r="AI387" s="11"/>
      <c r="AJ387" s="11"/>
      <c r="AK387" s="11"/>
    </row>
    <row r="388" spans="1:37" ht="13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  <c r="AA388" s="11"/>
      <c r="AB388" s="11"/>
      <c r="AC388" s="11"/>
      <c r="AD388" s="11"/>
      <c r="AE388" s="11"/>
      <c r="AF388" s="11"/>
      <c r="AG388" s="11"/>
      <c r="AH388" s="11"/>
      <c r="AI388" s="11"/>
      <c r="AJ388" s="11"/>
      <c r="AK388" s="11"/>
    </row>
    <row r="389" spans="1:37" ht="13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1"/>
      <c r="AJ389" s="11"/>
      <c r="AK389" s="11"/>
    </row>
    <row r="390" spans="1:37" ht="13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</row>
    <row r="391" spans="1:37" ht="13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  <c r="AA391" s="11"/>
      <c r="AB391" s="11"/>
      <c r="AC391" s="11"/>
      <c r="AD391" s="11"/>
      <c r="AE391" s="11"/>
      <c r="AF391" s="11"/>
      <c r="AG391" s="11"/>
      <c r="AH391" s="11"/>
      <c r="AI391" s="11"/>
      <c r="AJ391" s="11"/>
      <c r="AK391" s="11"/>
    </row>
    <row r="392" spans="1:37" ht="13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  <c r="AA392" s="11"/>
      <c r="AB392" s="11"/>
      <c r="AC392" s="11"/>
      <c r="AD392" s="11"/>
      <c r="AE392" s="11"/>
      <c r="AF392" s="11"/>
      <c r="AG392" s="11"/>
      <c r="AH392" s="11"/>
      <c r="AI392" s="11"/>
      <c r="AJ392" s="11"/>
      <c r="AK392" s="11"/>
    </row>
    <row r="393" spans="1:37" ht="13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1"/>
      <c r="AB393" s="11"/>
      <c r="AC393" s="11"/>
      <c r="AD393" s="11"/>
      <c r="AE393" s="11"/>
      <c r="AF393" s="11"/>
      <c r="AG393" s="11"/>
      <c r="AH393" s="11"/>
      <c r="AI393" s="11"/>
      <c r="AJ393" s="11"/>
      <c r="AK393" s="11"/>
    </row>
    <row r="394" spans="1:37" ht="13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11"/>
      <c r="AB394" s="11"/>
      <c r="AC394" s="11"/>
      <c r="AD394" s="11"/>
      <c r="AE394" s="11"/>
      <c r="AF394" s="11"/>
      <c r="AG394" s="11"/>
      <c r="AH394" s="11"/>
      <c r="AI394" s="11"/>
      <c r="AJ394" s="11"/>
      <c r="AK394" s="11"/>
    </row>
    <row r="395" spans="1:37" ht="13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  <c r="AA395" s="11"/>
      <c r="AB395" s="11"/>
      <c r="AC395" s="11"/>
      <c r="AD395" s="11"/>
      <c r="AE395" s="11"/>
      <c r="AF395" s="11"/>
      <c r="AG395" s="11"/>
      <c r="AH395" s="11"/>
      <c r="AI395" s="11"/>
      <c r="AJ395" s="11"/>
      <c r="AK395" s="11"/>
    </row>
    <row r="396" spans="1:37" ht="13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  <c r="AA396" s="11"/>
      <c r="AB396" s="11"/>
      <c r="AC396" s="11"/>
      <c r="AD396" s="11"/>
      <c r="AE396" s="11"/>
      <c r="AF396" s="11"/>
      <c r="AG396" s="11"/>
      <c r="AH396" s="11"/>
      <c r="AI396" s="11"/>
      <c r="AJ396" s="11"/>
      <c r="AK396" s="11"/>
    </row>
    <row r="397" spans="1:37" ht="13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  <c r="AA397" s="11"/>
      <c r="AB397" s="11"/>
      <c r="AC397" s="11"/>
      <c r="AD397" s="11"/>
      <c r="AE397" s="11"/>
      <c r="AF397" s="11"/>
      <c r="AG397" s="11"/>
      <c r="AH397" s="11"/>
      <c r="AI397" s="11"/>
      <c r="AJ397" s="11"/>
      <c r="AK397" s="11"/>
    </row>
    <row r="398" spans="1:37" ht="13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1"/>
      <c r="AB398" s="11"/>
      <c r="AC398" s="11"/>
      <c r="AD398" s="11"/>
      <c r="AE398" s="11"/>
      <c r="AF398" s="11"/>
      <c r="AG398" s="11"/>
      <c r="AH398" s="11"/>
      <c r="AI398" s="11"/>
      <c r="AJ398" s="11"/>
      <c r="AK398" s="11"/>
    </row>
    <row r="399" spans="1:37" ht="13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  <c r="AA399" s="11"/>
      <c r="AB399" s="11"/>
      <c r="AC399" s="11"/>
      <c r="AD399" s="11"/>
      <c r="AE399" s="11"/>
      <c r="AF399" s="11"/>
      <c r="AG399" s="11"/>
      <c r="AH399" s="11"/>
      <c r="AI399" s="11"/>
      <c r="AJ399" s="11"/>
      <c r="AK399" s="11"/>
    </row>
    <row r="400" spans="1:37" ht="13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  <c r="AA400" s="11"/>
      <c r="AB400" s="11"/>
      <c r="AC400" s="11"/>
      <c r="AD400" s="11"/>
      <c r="AE400" s="11"/>
      <c r="AF400" s="11"/>
      <c r="AG400" s="11"/>
      <c r="AH400" s="11"/>
      <c r="AI400" s="11"/>
      <c r="AJ400" s="11"/>
      <c r="AK400" s="11"/>
    </row>
    <row r="401" spans="1:37" ht="13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1"/>
      <c r="AB401" s="11"/>
      <c r="AC401" s="11"/>
      <c r="AD401" s="11"/>
      <c r="AE401" s="11"/>
      <c r="AF401" s="11"/>
      <c r="AG401" s="11"/>
      <c r="AH401" s="11"/>
      <c r="AI401" s="11"/>
      <c r="AJ401" s="11"/>
      <c r="AK401" s="11"/>
    </row>
    <row r="402" spans="1:37" ht="13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  <c r="AA402" s="11"/>
      <c r="AB402" s="11"/>
      <c r="AC402" s="11"/>
      <c r="AD402" s="11"/>
      <c r="AE402" s="11"/>
      <c r="AF402" s="11"/>
      <c r="AG402" s="11"/>
      <c r="AH402" s="11"/>
      <c r="AI402" s="11"/>
      <c r="AJ402" s="11"/>
      <c r="AK402" s="11"/>
    </row>
    <row r="403" spans="1:37" ht="13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  <c r="AA403" s="11"/>
      <c r="AB403" s="11"/>
      <c r="AC403" s="11"/>
      <c r="AD403" s="11"/>
      <c r="AE403" s="11"/>
      <c r="AF403" s="11"/>
      <c r="AG403" s="11"/>
      <c r="AH403" s="11"/>
      <c r="AI403" s="11"/>
      <c r="AJ403" s="11"/>
      <c r="AK403" s="11"/>
    </row>
    <row r="404" spans="1:37" ht="13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</row>
    <row r="405" spans="1:37" ht="13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  <c r="AA405" s="11"/>
      <c r="AB405" s="11"/>
      <c r="AC405" s="11"/>
      <c r="AD405" s="11"/>
      <c r="AE405" s="11"/>
      <c r="AF405" s="11"/>
      <c r="AG405" s="11"/>
      <c r="AH405" s="11"/>
      <c r="AI405" s="11"/>
      <c r="AJ405" s="11"/>
      <c r="AK405" s="11"/>
    </row>
    <row r="406" spans="1:37" ht="13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  <c r="AA406" s="11"/>
      <c r="AB406" s="11"/>
      <c r="AC406" s="11"/>
      <c r="AD406" s="11"/>
      <c r="AE406" s="11"/>
      <c r="AF406" s="11"/>
      <c r="AG406" s="11"/>
      <c r="AH406" s="11"/>
      <c r="AI406" s="11"/>
      <c r="AJ406" s="11"/>
      <c r="AK406" s="11"/>
    </row>
    <row r="407" spans="1:37" ht="13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  <c r="AA407" s="11"/>
      <c r="AB407" s="11"/>
      <c r="AC407" s="11"/>
      <c r="AD407" s="11"/>
      <c r="AE407" s="11"/>
      <c r="AF407" s="11"/>
      <c r="AG407" s="11"/>
      <c r="AH407" s="11"/>
      <c r="AI407" s="11"/>
      <c r="AJ407" s="11"/>
      <c r="AK407" s="11"/>
    </row>
    <row r="408" spans="1:37" ht="13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  <c r="AA408" s="11"/>
      <c r="AB408" s="11"/>
      <c r="AC408" s="11"/>
      <c r="AD408" s="11"/>
      <c r="AE408" s="11"/>
      <c r="AF408" s="11"/>
      <c r="AG408" s="11"/>
      <c r="AH408" s="11"/>
      <c r="AI408" s="11"/>
      <c r="AJ408" s="11"/>
      <c r="AK408" s="11"/>
    </row>
    <row r="409" spans="1:37" ht="13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  <c r="AA409" s="11"/>
      <c r="AB409" s="11"/>
      <c r="AC409" s="11"/>
      <c r="AD409" s="11"/>
      <c r="AE409" s="11"/>
      <c r="AF409" s="11"/>
      <c r="AG409" s="11"/>
      <c r="AH409" s="11"/>
      <c r="AI409" s="11"/>
      <c r="AJ409" s="11"/>
      <c r="AK409" s="11"/>
    </row>
    <row r="410" spans="1:37" ht="13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  <c r="AA410" s="11"/>
      <c r="AB410" s="11"/>
      <c r="AC410" s="11"/>
      <c r="AD410" s="11"/>
      <c r="AE410" s="11"/>
      <c r="AF410" s="11"/>
      <c r="AG410" s="11"/>
      <c r="AH410" s="11"/>
      <c r="AI410" s="11"/>
      <c r="AJ410" s="11"/>
      <c r="AK410" s="11"/>
    </row>
    <row r="411" spans="1:37" ht="13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  <c r="AA411" s="11"/>
      <c r="AB411" s="11"/>
      <c r="AC411" s="11"/>
      <c r="AD411" s="11"/>
      <c r="AE411" s="11"/>
      <c r="AF411" s="11"/>
      <c r="AG411" s="11"/>
      <c r="AH411" s="11"/>
      <c r="AI411" s="11"/>
      <c r="AJ411" s="11"/>
      <c r="AK411" s="11"/>
    </row>
    <row r="412" spans="1:37" ht="13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  <c r="AA412" s="11"/>
      <c r="AB412" s="11"/>
      <c r="AC412" s="11"/>
      <c r="AD412" s="11"/>
      <c r="AE412" s="11"/>
      <c r="AF412" s="11"/>
      <c r="AG412" s="11"/>
      <c r="AH412" s="11"/>
      <c r="AI412" s="11"/>
      <c r="AJ412" s="11"/>
      <c r="AK412" s="11"/>
    </row>
    <row r="413" spans="1:37" ht="13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  <c r="AA413" s="11"/>
      <c r="AB413" s="11"/>
      <c r="AC413" s="11"/>
      <c r="AD413" s="11"/>
      <c r="AE413" s="11"/>
      <c r="AF413" s="11"/>
      <c r="AG413" s="11"/>
      <c r="AH413" s="11"/>
      <c r="AI413" s="11"/>
      <c r="AJ413" s="11"/>
      <c r="AK413" s="11"/>
    </row>
    <row r="414" spans="1:37" ht="13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  <c r="AA414" s="11"/>
      <c r="AB414" s="11"/>
      <c r="AC414" s="11"/>
      <c r="AD414" s="11"/>
      <c r="AE414" s="11"/>
      <c r="AF414" s="11"/>
      <c r="AG414" s="11"/>
      <c r="AH414" s="11"/>
      <c r="AI414" s="11"/>
      <c r="AJ414" s="11"/>
      <c r="AK414" s="11"/>
    </row>
    <row r="415" spans="1:37" ht="13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  <c r="AA415" s="11"/>
      <c r="AB415" s="11"/>
      <c r="AC415" s="11"/>
      <c r="AD415" s="11"/>
      <c r="AE415" s="11"/>
      <c r="AF415" s="11"/>
      <c r="AG415" s="11"/>
      <c r="AH415" s="11"/>
      <c r="AI415" s="11"/>
      <c r="AJ415" s="11"/>
      <c r="AK415" s="11"/>
    </row>
    <row r="416" spans="1:37" ht="13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  <c r="AA416" s="11"/>
      <c r="AB416" s="11"/>
      <c r="AC416" s="11"/>
      <c r="AD416" s="11"/>
      <c r="AE416" s="11"/>
      <c r="AF416" s="11"/>
      <c r="AG416" s="11"/>
      <c r="AH416" s="11"/>
      <c r="AI416" s="11"/>
      <c r="AJ416" s="11"/>
      <c r="AK416" s="11"/>
    </row>
    <row r="417" spans="1:37" ht="13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  <c r="AA417" s="11"/>
      <c r="AB417" s="11"/>
      <c r="AC417" s="11"/>
      <c r="AD417" s="11"/>
      <c r="AE417" s="11"/>
      <c r="AF417" s="11"/>
      <c r="AG417" s="11"/>
      <c r="AH417" s="11"/>
      <c r="AI417" s="11"/>
      <c r="AJ417" s="11"/>
      <c r="AK417" s="11"/>
    </row>
    <row r="418" spans="1:37" ht="13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  <c r="AA418" s="11"/>
      <c r="AB418" s="11"/>
      <c r="AC418" s="11"/>
      <c r="AD418" s="11"/>
      <c r="AE418" s="11"/>
      <c r="AF418" s="11"/>
      <c r="AG418" s="11"/>
      <c r="AH418" s="11"/>
      <c r="AI418" s="11"/>
      <c r="AJ418" s="11"/>
      <c r="AK418" s="11"/>
    </row>
    <row r="419" spans="1:37" ht="13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  <c r="AA419" s="11"/>
      <c r="AB419" s="11"/>
      <c r="AC419" s="11"/>
      <c r="AD419" s="11"/>
      <c r="AE419" s="11"/>
      <c r="AF419" s="11"/>
      <c r="AG419" s="11"/>
      <c r="AH419" s="11"/>
      <c r="AI419" s="11"/>
      <c r="AJ419" s="11"/>
      <c r="AK419" s="11"/>
    </row>
    <row r="420" spans="1:37" ht="13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  <c r="AA420" s="11"/>
      <c r="AB420" s="11"/>
      <c r="AC420" s="11"/>
      <c r="AD420" s="11"/>
      <c r="AE420" s="11"/>
      <c r="AF420" s="11"/>
      <c r="AG420" s="11"/>
      <c r="AH420" s="11"/>
      <c r="AI420" s="11"/>
      <c r="AJ420" s="11"/>
      <c r="AK420" s="11"/>
    </row>
    <row r="421" spans="1:37" ht="13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  <c r="AA421" s="11"/>
      <c r="AB421" s="11"/>
      <c r="AC421" s="11"/>
      <c r="AD421" s="11"/>
      <c r="AE421" s="11"/>
      <c r="AF421" s="11"/>
      <c r="AG421" s="11"/>
      <c r="AH421" s="11"/>
      <c r="AI421" s="11"/>
      <c r="AJ421" s="11"/>
      <c r="AK421" s="11"/>
    </row>
    <row r="422" spans="1:37" ht="13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  <c r="AA422" s="11"/>
      <c r="AB422" s="11"/>
      <c r="AC422" s="11"/>
      <c r="AD422" s="11"/>
      <c r="AE422" s="11"/>
      <c r="AF422" s="11"/>
      <c r="AG422" s="11"/>
      <c r="AH422" s="11"/>
      <c r="AI422" s="11"/>
      <c r="AJ422" s="11"/>
      <c r="AK422" s="11"/>
    </row>
    <row r="423" spans="1:37" ht="13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  <c r="AA423" s="11"/>
      <c r="AB423" s="11"/>
      <c r="AC423" s="11"/>
      <c r="AD423" s="11"/>
      <c r="AE423" s="11"/>
      <c r="AF423" s="11"/>
      <c r="AG423" s="11"/>
      <c r="AH423" s="11"/>
      <c r="AI423" s="11"/>
      <c r="AJ423" s="11"/>
      <c r="AK423" s="11"/>
    </row>
    <row r="424" spans="1:37" ht="13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  <c r="AA424" s="11"/>
      <c r="AB424" s="11"/>
      <c r="AC424" s="11"/>
      <c r="AD424" s="11"/>
      <c r="AE424" s="11"/>
      <c r="AF424" s="11"/>
      <c r="AG424" s="11"/>
      <c r="AH424" s="11"/>
      <c r="AI424" s="11"/>
      <c r="AJ424" s="11"/>
      <c r="AK424" s="11"/>
    </row>
    <row r="425" spans="1:37" ht="13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  <c r="AA425" s="11"/>
      <c r="AB425" s="11"/>
      <c r="AC425" s="11"/>
      <c r="AD425" s="11"/>
      <c r="AE425" s="11"/>
      <c r="AF425" s="11"/>
      <c r="AG425" s="11"/>
      <c r="AH425" s="11"/>
      <c r="AI425" s="11"/>
      <c r="AJ425" s="11"/>
      <c r="AK425" s="11"/>
    </row>
    <row r="426" spans="1:37" ht="13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  <c r="AF426" s="11"/>
      <c r="AG426" s="11"/>
      <c r="AH426" s="11"/>
      <c r="AI426" s="11"/>
      <c r="AJ426" s="11"/>
      <c r="AK426" s="11"/>
    </row>
    <row r="427" spans="1:37" ht="13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  <c r="AA427" s="11"/>
      <c r="AB427" s="11"/>
      <c r="AC427" s="11"/>
      <c r="AD427" s="11"/>
      <c r="AE427" s="11"/>
      <c r="AF427" s="11"/>
      <c r="AG427" s="11"/>
      <c r="AH427" s="11"/>
      <c r="AI427" s="11"/>
      <c r="AJ427" s="11"/>
      <c r="AK427" s="11"/>
    </row>
    <row r="428" spans="1:37" ht="13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  <c r="AA428" s="11"/>
      <c r="AB428" s="11"/>
      <c r="AC428" s="11"/>
      <c r="AD428" s="11"/>
      <c r="AE428" s="11"/>
      <c r="AF428" s="11"/>
      <c r="AG428" s="11"/>
      <c r="AH428" s="11"/>
      <c r="AI428" s="11"/>
      <c r="AJ428" s="11"/>
      <c r="AK428" s="11"/>
    </row>
    <row r="429" spans="1:37" ht="13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  <c r="AA429" s="11"/>
      <c r="AB429" s="11"/>
      <c r="AC429" s="11"/>
      <c r="AD429" s="11"/>
      <c r="AE429" s="11"/>
      <c r="AF429" s="11"/>
      <c r="AG429" s="11"/>
      <c r="AH429" s="11"/>
      <c r="AI429" s="11"/>
      <c r="AJ429" s="11"/>
      <c r="AK429" s="11"/>
    </row>
    <row r="430" spans="1:37" ht="13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  <c r="AA430" s="11"/>
      <c r="AB430" s="11"/>
      <c r="AC430" s="11"/>
      <c r="AD430" s="11"/>
      <c r="AE430" s="11"/>
      <c r="AF430" s="11"/>
      <c r="AG430" s="11"/>
      <c r="AH430" s="11"/>
      <c r="AI430" s="11"/>
      <c r="AJ430" s="11"/>
      <c r="AK430" s="11"/>
    </row>
    <row r="431" spans="1:37" ht="13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  <c r="AA431" s="11"/>
      <c r="AB431" s="11"/>
      <c r="AC431" s="11"/>
      <c r="AD431" s="11"/>
      <c r="AE431" s="11"/>
      <c r="AF431" s="11"/>
      <c r="AG431" s="11"/>
      <c r="AH431" s="11"/>
      <c r="AI431" s="11"/>
      <c r="AJ431" s="11"/>
      <c r="AK431" s="11"/>
    </row>
    <row r="432" spans="1:37" ht="13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  <c r="AA432" s="11"/>
      <c r="AB432" s="11"/>
      <c r="AC432" s="11"/>
      <c r="AD432" s="11"/>
      <c r="AE432" s="11"/>
      <c r="AF432" s="11"/>
      <c r="AG432" s="11"/>
      <c r="AH432" s="11"/>
      <c r="AI432" s="11"/>
      <c r="AJ432" s="11"/>
      <c r="AK432" s="11"/>
    </row>
    <row r="433" spans="1:37" ht="13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  <c r="AA433" s="11"/>
      <c r="AB433" s="11"/>
      <c r="AC433" s="11"/>
      <c r="AD433" s="11"/>
      <c r="AE433" s="11"/>
      <c r="AF433" s="11"/>
      <c r="AG433" s="11"/>
      <c r="AH433" s="11"/>
      <c r="AI433" s="11"/>
      <c r="AJ433" s="11"/>
      <c r="AK433" s="11"/>
    </row>
    <row r="434" spans="1:37" ht="13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  <c r="AA434" s="11"/>
      <c r="AB434" s="11"/>
      <c r="AC434" s="11"/>
      <c r="AD434" s="11"/>
      <c r="AE434" s="11"/>
      <c r="AF434" s="11"/>
      <c r="AG434" s="11"/>
      <c r="AH434" s="11"/>
      <c r="AI434" s="11"/>
      <c r="AJ434" s="11"/>
      <c r="AK434" s="11"/>
    </row>
    <row r="435" spans="1:37" ht="13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  <c r="AA435" s="11"/>
      <c r="AB435" s="11"/>
      <c r="AC435" s="11"/>
      <c r="AD435" s="11"/>
      <c r="AE435" s="11"/>
      <c r="AF435" s="11"/>
      <c r="AG435" s="11"/>
      <c r="AH435" s="11"/>
      <c r="AI435" s="11"/>
      <c r="AJ435" s="11"/>
      <c r="AK435" s="11"/>
    </row>
    <row r="436" spans="1:37" ht="13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  <c r="AA436" s="11"/>
      <c r="AB436" s="11"/>
      <c r="AC436" s="11"/>
      <c r="AD436" s="11"/>
      <c r="AE436" s="11"/>
      <c r="AF436" s="11"/>
      <c r="AG436" s="11"/>
      <c r="AH436" s="11"/>
      <c r="AI436" s="11"/>
      <c r="AJ436" s="11"/>
      <c r="AK436" s="11"/>
    </row>
    <row r="437" spans="1:37" ht="13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  <c r="AA437" s="11"/>
      <c r="AB437" s="11"/>
      <c r="AC437" s="11"/>
      <c r="AD437" s="11"/>
      <c r="AE437" s="11"/>
      <c r="AF437" s="11"/>
      <c r="AG437" s="11"/>
      <c r="AH437" s="11"/>
      <c r="AI437" s="11"/>
      <c r="AJ437" s="11"/>
      <c r="AK437" s="11"/>
    </row>
    <row r="438" spans="1:37" ht="13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  <c r="AA438" s="11"/>
      <c r="AB438" s="11"/>
      <c r="AC438" s="11"/>
      <c r="AD438" s="11"/>
      <c r="AE438" s="11"/>
      <c r="AF438" s="11"/>
      <c r="AG438" s="11"/>
      <c r="AH438" s="11"/>
      <c r="AI438" s="11"/>
      <c r="AJ438" s="11"/>
      <c r="AK438" s="11"/>
    </row>
    <row r="439" spans="1:37" ht="13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  <c r="AA439" s="11"/>
      <c r="AB439" s="11"/>
      <c r="AC439" s="11"/>
      <c r="AD439" s="11"/>
      <c r="AE439" s="11"/>
      <c r="AF439" s="11"/>
      <c r="AG439" s="11"/>
      <c r="AH439" s="11"/>
      <c r="AI439" s="11"/>
      <c r="AJ439" s="11"/>
      <c r="AK439" s="11"/>
    </row>
    <row r="440" spans="1:37" ht="13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  <c r="AA440" s="11"/>
      <c r="AB440" s="11"/>
      <c r="AC440" s="11"/>
      <c r="AD440" s="11"/>
      <c r="AE440" s="11"/>
      <c r="AF440" s="11"/>
      <c r="AG440" s="11"/>
      <c r="AH440" s="11"/>
      <c r="AI440" s="11"/>
      <c r="AJ440" s="11"/>
      <c r="AK440" s="11"/>
    </row>
    <row r="441" spans="1:37" ht="13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  <c r="AA441" s="11"/>
      <c r="AB441" s="11"/>
      <c r="AC441" s="11"/>
      <c r="AD441" s="11"/>
      <c r="AE441" s="11"/>
      <c r="AF441" s="11"/>
      <c r="AG441" s="11"/>
      <c r="AH441" s="11"/>
      <c r="AI441" s="11"/>
      <c r="AJ441" s="11"/>
      <c r="AK441" s="11"/>
    </row>
    <row r="442" spans="1:37" ht="13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  <c r="AA442" s="11"/>
      <c r="AB442" s="11"/>
      <c r="AC442" s="11"/>
      <c r="AD442" s="11"/>
      <c r="AE442" s="11"/>
      <c r="AF442" s="11"/>
      <c r="AG442" s="11"/>
      <c r="AH442" s="11"/>
      <c r="AI442" s="11"/>
      <c r="AJ442" s="11"/>
      <c r="AK442" s="11"/>
    </row>
    <row r="443" spans="1:37" ht="13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  <c r="AA443" s="11"/>
      <c r="AB443" s="11"/>
      <c r="AC443" s="11"/>
      <c r="AD443" s="11"/>
      <c r="AE443" s="11"/>
      <c r="AF443" s="11"/>
      <c r="AG443" s="11"/>
      <c r="AH443" s="11"/>
      <c r="AI443" s="11"/>
      <c r="AJ443" s="11"/>
      <c r="AK443" s="11"/>
    </row>
    <row r="444" spans="1:37" ht="13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  <c r="AA444" s="11"/>
      <c r="AB444" s="11"/>
      <c r="AC444" s="11"/>
      <c r="AD444" s="11"/>
      <c r="AE444" s="11"/>
      <c r="AF444" s="11"/>
      <c r="AG444" s="11"/>
      <c r="AH444" s="11"/>
      <c r="AI444" s="11"/>
      <c r="AJ444" s="11"/>
      <c r="AK444" s="11"/>
    </row>
    <row r="445" spans="1:37" ht="13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  <c r="AA445" s="11"/>
      <c r="AB445" s="11"/>
      <c r="AC445" s="11"/>
      <c r="AD445" s="11"/>
      <c r="AE445" s="11"/>
      <c r="AF445" s="11"/>
      <c r="AG445" s="11"/>
      <c r="AH445" s="11"/>
      <c r="AI445" s="11"/>
      <c r="AJ445" s="11"/>
      <c r="AK445" s="11"/>
    </row>
    <row r="446" spans="1:37" ht="13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  <c r="AA446" s="11"/>
      <c r="AB446" s="11"/>
      <c r="AC446" s="11"/>
      <c r="AD446" s="11"/>
      <c r="AE446" s="11"/>
      <c r="AF446" s="11"/>
      <c r="AG446" s="11"/>
      <c r="AH446" s="11"/>
      <c r="AI446" s="11"/>
      <c r="AJ446" s="11"/>
      <c r="AK446" s="11"/>
    </row>
    <row r="447" spans="1:37" ht="13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  <c r="AA447" s="11"/>
      <c r="AB447" s="11"/>
      <c r="AC447" s="11"/>
      <c r="AD447" s="11"/>
      <c r="AE447" s="11"/>
      <c r="AF447" s="11"/>
      <c r="AG447" s="11"/>
      <c r="AH447" s="11"/>
      <c r="AI447" s="11"/>
      <c r="AJ447" s="11"/>
      <c r="AK447" s="11"/>
    </row>
    <row r="448" spans="1:37" ht="13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  <c r="AA448" s="11"/>
      <c r="AB448" s="11"/>
      <c r="AC448" s="11"/>
      <c r="AD448" s="11"/>
      <c r="AE448" s="11"/>
      <c r="AF448" s="11"/>
      <c r="AG448" s="11"/>
      <c r="AH448" s="11"/>
      <c r="AI448" s="11"/>
      <c r="AJ448" s="11"/>
      <c r="AK448" s="11"/>
    </row>
    <row r="449" spans="1:37" ht="13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  <c r="AA449" s="11"/>
      <c r="AB449" s="11"/>
      <c r="AC449" s="11"/>
      <c r="AD449" s="11"/>
      <c r="AE449" s="11"/>
      <c r="AF449" s="11"/>
      <c r="AG449" s="11"/>
      <c r="AH449" s="11"/>
      <c r="AI449" s="11"/>
      <c r="AJ449" s="11"/>
      <c r="AK449" s="11"/>
    </row>
    <row r="450" spans="1:37" ht="13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  <c r="AA450" s="11"/>
      <c r="AB450" s="11"/>
      <c r="AC450" s="11"/>
      <c r="AD450" s="11"/>
      <c r="AE450" s="11"/>
      <c r="AF450" s="11"/>
      <c r="AG450" s="11"/>
      <c r="AH450" s="11"/>
      <c r="AI450" s="11"/>
      <c r="AJ450" s="11"/>
      <c r="AK450" s="11"/>
    </row>
    <row r="451" spans="1:37" ht="13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  <c r="AA451" s="11"/>
      <c r="AB451" s="11"/>
      <c r="AC451" s="11"/>
      <c r="AD451" s="11"/>
      <c r="AE451" s="11"/>
      <c r="AF451" s="11"/>
      <c r="AG451" s="11"/>
      <c r="AH451" s="11"/>
      <c r="AI451" s="11"/>
      <c r="AJ451" s="11"/>
      <c r="AK451" s="11"/>
    </row>
    <row r="452" spans="1:37" ht="13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  <c r="AA452" s="11"/>
      <c r="AB452" s="11"/>
      <c r="AC452" s="11"/>
      <c r="AD452" s="11"/>
      <c r="AE452" s="11"/>
      <c r="AF452" s="11"/>
      <c r="AG452" s="11"/>
      <c r="AH452" s="11"/>
      <c r="AI452" s="11"/>
      <c r="AJ452" s="11"/>
      <c r="AK452" s="11"/>
    </row>
    <row r="453" spans="1:37" ht="13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  <c r="AA453" s="11"/>
      <c r="AB453" s="11"/>
      <c r="AC453" s="11"/>
      <c r="AD453" s="11"/>
      <c r="AE453" s="11"/>
      <c r="AF453" s="11"/>
      <c r="AG453" s="11"/>
      <c r="AH453" s="11"/>
      <c r="AI453" s="11"/>
      <c r="AJ453" s="11"/>
      <c r="AK453" s="11"/>
    </row>
    <row r="454" spans="1:37" ht="13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  <c r="AA454" s="11"/>
      <c r="AB454" s="11"/>
      <c r="AC454" s="11"/>
      <c r="AD454" s="11"/>
      <c r="AE454" s="11"/>
      <c r="AF454" s="11"/>
      <c r="AG454" s="11"/>
      <c r="AH454" s="11"/>
      <c r="AI454" s="11"/>
      <c r="AJ454" s="11"/>
      <c r="AK454" s="11"/>
    </row>
    <row r="455" spans="1:37" ht="13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  <c r="AA455" s="11"/>
      <c r="AB455" s="11"/>
      <c r="AC455" s="11"/>
      <c r="AD455" s="11"/>
      <c r="AE455" s="11"/>
      <c r="AF455" s="11"/>
      <c r="AG455" s="11"/>
      <c r="AH455" s="11"/>
      <c r="AI455" s="11"/>
      <c r="AJ455" s="11"/>
      <c r="AK455" s="11"/>
    </row>
    <row r="456" spans="1:37" ht="13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</row>
    <row r="457" spans="1:37" ht="13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  <c r="AA457" s="11"/>
      <c r="AB457" s="11"/>
      <c r="AC457" s="11"/>
      <c r="AD457" s="11"/>
      <c r="AE457" s="11"/>
      <c r="AF457" s="11"/>
      <c r="AG457" s="11"/>
      <c r="AH457" s="11"/>
      <c r="AI457" s="11"/>
      <c r="AJ457" s="11"/>
      <c r="AK457" s="11"/>
    </row>
    <row r="458" spans="1:37" ht="13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</row>
    <row r="459" spans="1:37" ht="13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  <c r="AA459" s="11"/>
      <c r="AB459" s="11"/>
      <c r="AC459" s="11"/>
      <c r="AD459" s="11"/>
      <c r="AE459" s="11"/>
      <c r="AF459" s="11"/>
      <c r="AG459" s="11"/>
      <c r="AH459" s="11"/>
      <c r="AI459" s="11"/>
      <c r="AJ459" s="11"/>
      <c r="AK459" s="11"/>
    </row>
    <row r="460" spans="1:37" ht="13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  <c r="AA460" s="11"/>
      <c r="AB460" s="11"/>
      <c r="AC460" s="11"/>
      <c r="AD460" s="11"/>
      <c r="AE460" s="11"/>
      <c r="AF460" s="11"/>
      <c r="AG460" s="11"/>
      <c r="AH460" s="11"/>
      <c r="AI460" s="11"/>
      <c r="AJ460" s="11"/>
      <c r="AK460" s="11"/>
    </row>
    <row r="461" spans="1:37" ht="13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  <c r="AA461" s="11"/>
      <c r="AB461" s="11"/>
      <c r="AC461" s="11"/>
      <c r="AD461" s="11"/>
      <c r="AE461" s="11"/>
      <c r="AF461" s="11"/>
      <c r="AG461" s="11"/>
      <c r="AH461" s="11"/>
      <c r="AI461" s="11"/>
      <c r="AJ461" s="11"/>
      <c r="AK461" s="11"/>
    </row>
    <row r="462" spans="1:37" ht="13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  <c r="AA462" s="11"/>
      <c r="AB462" s="11"/>
      <c r="AC462" s="11"/>
      <c r="AD462" s="11"/>
      <c r="AE462" s="11"/>
      <c r="AF462" s="11"/>
      <c r="AG462" s="11"/>
      <c r="AH462" s="11"/>
      <c r="AI462" s="11"/>
      <c r="AJ462" s="11"/>
      <c r="AK462" s="11"/>
    </row>
    <row r="463" spans="1:37" ht="13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</row>
    <row r="464" spans="1:37" ht="13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  <c r="AA464" s="11"/>
      <c r="AB464" s="11"/>
      <c r="AC464" s="11"/>
      <c r="AD464" s="11"/>
      <c r="AE464" s="11"/>
      <c r="AF464" s="11"/>
      <c r="AG464" s="11"/>
      <c r="AH464" s="11"/>
      <c r="AI464" s="11"/>
      <c r="AJ464" s="11"/>
      <c r="AK464" s="11"/>
    </row>
    <row r="465" spans="1:37" ht="13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  <c r="AA465" s="11"/>
      <c r="AB465" s="11"/>
      <c r="AC465" s="11"/>
      <c r="AD465" s="11"/>
      <c r="AE465" s="11"/>
      <c r="AF465" s="11"/>
      <c r="AG465" s="11"/>
      <c r="AH465" s="11"/>
      <c r="AI465" s="11"/>
      <c r="AJ465" s="11"/>
      <c r="AK465" s="11"/>
    </row>
    <row r="466" spans="1:37" ht="13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  <c r="AA466" s="11"/>
      <c r="AB466" s="11"/>
      <c r="AC466" s="11"/>
      <c r="AD466" s="11"/>
      <c r="AE466" s="11"/>
      <c r="AF466" s="11"/>
      <c r="AG466" s="11"/>
      <c r="AH466" s="11"/>
      <c r="AI466" s="11"/>
      <c r="AJ466" s="11"/>
      <c r="AK466" s="11"/>
    </row>
    <row r="467" spans="1:37" ht="13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  <c r="AA467" s="11"/>
      <c r="AB467" s="11"/>
      <c r="AC467" s="11"/>
      <c r="AD467" s="11"/>
      <c r="AE467" s="11"/>
      <c r="AF467" s="11"/>
      <c r="AG467" s="11"/>
      <c r="AH467" s="11"/>
      <c r="AI467" s="11"/>
      <c r="AJ467" s="11"/>
      <c r="AK467" s="11"/>
    </row>
    <row r="468" spans="1:37" ht="13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  <c r="AA468" s="11"/>
      <c r="AB468" s="11"/>
      <c r="AC468" s="11"/>
      <c r="AD468" s="11"/>
      <c r="AE468" s="11"/>
      <c r="AF468" s="11"/>
      <c r="AG468" s="11"/>
      <c r="AH468" s="11"/>
      <c r="AI468" s="11"/>
      <c r="AJ468" s="11"/>
      <c r="AK468" s="11"/>
    </row>
    <row r="469" spans="1:37" ht="13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  <c r="AA469" s="11"/>
      <c r="AB469" s="11"/>
      <c r="AC469" s="11"/>
      <c r="AD469" s="11"/>
      <c r="AE469" s="11"/>
      <c r="AF469" s="11"/>
      <c r="AG469" s="11"/>
      <c r="AH469" s="11"/>
      <c r="AI469" s="11"/>
      <c r="AJ469" s="11"/>
      <c r="AK469" s="11"/>
    </row>
    <row r="470" spans="1:37" ht="13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  <c r="AA470" s="11"/>
      <c r="AB470" s="11"/>
      <c r="AC470" s="11"/>
      <c r="AD470" s="11"/>
      <c r="AE470" s="11"/>
      <c r="AF470" s="11"/>
      <c r="AG470" s="11"/>
      <c r="AH470" s="11"/>
      <c r="AI470" s="11"/>
      <c r="AJ470" s="11"/>
      <c r="AK470" s="11"/>
    </row>
    <row r="471" spans="1:37" ht="13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  <c r="AA471" s="11"/>
      <c r="AB471" s="11"/>
      <c r="AC471" s="11"/>
      <c r="AD471" s="11"/>
      <c r="AE471" s="11"/>
      <c r="AF471" s="11"/>
      <c r="AG471" s="11"/>
      <c r="AH471" s="11"/>
      <c r="AI471" s="11"/>
      <c r="AJ471" s="11"/>
      <c r="AK471" s="11"/>
    </row>
    <row r="472" spans="1:37" ht="13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  <c r="AA472" s="11"/>
      <c r="AB472" s="11"/>
      <c r="AC472" s="11"/>
      <c r="AD472" s="11"/>
      <c r="AE472" s="11"/>
      <c r="AF472" s="11"/>
      <c r="AG472" s="11"/>
      <c r="AH472" s="11"/>
      <c r="AI472" s="11"/>
      <c r="AJ472" s="11"/>
      <c r="AK472" s="11"/>
    </row>
    <row r="473" spans="1:37" ht="13">
      <c r="A473" s="11"/>
      <c r="B473" s="11"/>
    </row>
    <row r="474" spans="1:37" ht="13">
      <c r="A474" s="11"/>
      <c r="B474" s="11"/>
    </row>
    <row r="475" spans="1:37" ht="13">
      <c r="A475" s="11"/>
      <c r="B475" s="11"/>
    </row>
    <row r="476" spans="1:37" ht="13">
      <c r="A476" s="11"/>
      <c r="B476" s="11"/>
    </row>
    <row r="477" spans="1:37" ht="13">
      <c r="A477" s="11"/>
      <c r="B477" s="11"/>
    </row>
    <row r="478" spans="1:37" ht="13">
      <c r="A478" s="11"/>
      <c r="B478" s="11"/>
    </row>
    <row r="479" spans="1:37" ht="13">
      <c r="A479" s="11"/>
      <c r="B479" s="11"/>
    </row>
    <row r="480" spans="1:37" ht="13">
      <c r="A480" s="11"/>
      <c r="B480" s="11"/>
    </row>
    <row r="481" spans="1:2" ht="13">
      <c r="A481" s="11"/>
      <c r="B481" s="11"/>
    </row>
    <row r="482" spans="1:2" ht="13">
      <c r="A482" s="11"/>
      <c r="B482" s="11"/>
    </row>
    <row r="483" spans="1:2" ht="13">
      <c r="A483" s="11"/>
      <c r="B483" s="11"/>
    </row>
    <row r="484" spans="1:2" ht="13">
      <c r="A484" s="11"/>
      <c r="B484" s="11"/>
    </row>
    <row r="485" spans="1:2" ht="13">
      <c r="A485" s="11"/>
      <c r="B485" s="11"/>
    </row>
    <row r="486" spans="1:2" ht="13">
      <c r="A486" s="11"/>
      <c r="B486" s="11"/>
    </row>
    <row r="487" spans="1:2" ht="13">
      <c r="A487" s="11"/>
      <c r="B487" s="11"/>
    </row>
    <row r="488" spans="1:2" ht="13">
      <c r="A488" s="11"/>
      <c r="B488" s="11"/>
    </row>
    <row r="489" spans="1:2" ht="13">
      <c r="A489" s="11"/>
      <c r="B489" s="11"/>
    </row>
    <row r="490" spans="1:2" ht="13">
      <c r="A490" s="11"/>
      <c r="B490" s="11"/>
    </row>
    <row r="491" spans="1:2" ht="13">
      <c r="A491" s="11"/>
      <c r="B491" s="11"/>
    </row>
    <row r="492" spans="1:2" ht="13">
      <c r="A492" s="11"/>
      <c r="B492" s="11"/>
    </row>
    <row r="493" spans="1:2" ht="13">
      <c r="A493" s="11"/>
      <c r="B493" s="11"/>
    </row>
    <row r="494" spans="1:2" ht="13">
      <c r="A494" s="11"/>
      <c r="B494" s="11"/>
    </row>
    <row r="495" spans="1:2" ht="13">
      <c r="A495" s="11"/>
      <c r="B495" s="11"/>
    </row>
    <row r="496" spans="1:2" ht="13">
      <c r="A496" s="11"/>
      <c r="B496" s="11"/>
    </row>
    <row r="497" spans="1:2" ht="13">
      <c r="A497" s="11"/>
      <c r="B497" s="11"/>
    </row>
    <row r="498" spans="1:2" ht="13">
      <c r="A498" s="11"/>
      <c r="B498" s="11"/>
    </row>
    <row r="499" spans="1:2" ht="13">
      <c r="A499" s="11"/>
      <c r="B499" s="11"/>
    </row>
    <row r="500" spans="1:2" ht="13">
      <c r="A500" s="11"/>
      <c r="B500" s="11"/>
    </row>
    <row r="501" spans="1:2" ht="13">
      <c r="A501" s="11"/>
      <c r="B501" s="11"/>
    </row>
    <row r="502" spans="1:2" ht="13">
      <c r="A502" s="11"/>
      <c r="B502" s="11"/>
    </row>
    <row r="503" spans="1:2" ht="13">
      <c r="A503" s="11"/>
      <c r="B503" s="11"/>
    </row>
    <row r="504" spans="1:2" ht="13">
      <c r="A504" s="11"/>
      <c r="B504" s="11"/>
    </row>
    <row r="505" spans="1:2" ht="13">
      <c r="A505" s="11"/>
      <c r="B505" s="11"/>
    </row>
    <row r="506" spans="1:2" ht="13">
      <c r="A506" s="11"/>
      <c r="B506" s="11"/>
    </row>
    <row r="507" spans="1:2" ht="13">
      <c r="A507" s="11"/>
      <c r="B507" s="11"/>
    </row>
    <row r="508" spans="1:2" ht="13">
      <c r="A508" s="11"/>
      <c r="B508" s="11"/>
    </row>
    <row r="509" spans="1:2" ht="13">
      <c r="A509" s="11"/>
      <c r="B509" s="11"/>
    </row>
    <row r="510" spans="1:2" ht="13">
      <c r="A510" s="11"/>
      <c r="B510" s="11"/>
    </row>
    <row r="511" spans="1:2" ht="13">
      <c r="A511" s="11"/>
      <c r="B511" s="11"/>
    </row>
    <row r="512" spans="1:2" ht="13">
      <c r="A512" s="11"/>
      <c r="B512" s="11"/>
    </row>
    <row r="513" spans="1:2" ht="13">
      <c r="A513" s="11"/>
      <c r="B513" s="11"/>
    </row>
    <row r="514" spans="1:2" ht="13">
      <c r="A514" s="11"/>
      <c r="B514" s="11"/>
    </row>
    <row r="515" spans="1:2" ht="13">
      <c r="A515" s="11"/>
      <c r="B515" s="11"/>
    </row>
    <row r="516" spans="1:2" ht="13">
      <c r="A516" s="11"/>
      <c r="B516" s="11"/>
    </row>
    <row r="517" spans="1:2" ht="13">
      <c r="A517" s="11"/>
      <c r="B517" s="11"/>
    </row>
    <row r="518" spans="1:2" ht="13">
      <c r="A518" s="11"/>
      <c r="B518" s="11"/>
    </row>
    <row r="519" spans="1:2" ht="13">
      <c r="A519" s="11"/>
      <c r="B519" s="11"/>
    </row>
    <row r="520" spans="1:2" ht="13">
      <c r="A520" s="11"/>
      <c r="B520" s="11"/>
    </row>
    <row r="521" spans="1:2" ht="13">
      <c r="A521" s="11"/>
      <c r="B521" s="11"/>
    </row>
    <row r="522" spans="1:2" ht="13">
      <c r="A522" s="11"/>
      <c r="B522" s="11"/>
    </row>
    <row r="523" spans="1:2" ht="13">
      <c r="A523" s="11"/>
      <c r="B523" s="11"/>
    </row>
    <row r="524" spans="1:2" ht="13">
      <c r="A524" s="11"/>
      <c r="B524" s="11"/>
    </row>
    <row r="525" spans="1:2" ht="13">
      <c r="A525" s="11"/>
      <c r="B525" s="11"/>
    </row>
    <row r="526" spans="1:2" ht="13">
      <c r="A526" s="11"/>
      <c r="B526" s="11"/>
    </row>
    <row r="527" spans="1:2" ht="13">
      <c r="A527" s="11"/>
      <c r="B527" s="11"/>
    </row>
    <row r="528" spans="1:2" ht="13">
      <c r="A528" s="11"/>
      <c r="B528" s="11"/>
    </row>
    <row r="529" spans="1:2" ht="13">
      <c r="A529" s="11"/>
      <c r="B529" s="11"/>
    </row>
    <row r="530" spans="1:2" ht="13">
      <c r="A530" s="11"/>
      <c r="B530" s="11"/>
    </row>
    <row r="531" spans="1:2" ht="13">
      <c r="A531" s="11"/>
      <c r="B531" s="11"/>
    </row>
    <row r="532" spans="1:2" ht="13">
      <c r="A532" s="11"/>
      <c r="B532" s="11"/>
    </row>
    <row r="533" spans="1:2" ht="13">
      <c r="A533" s="11"/>
      <c r="B533" s="11"/>
    </row>
    <row r="534" spans="1:2" ht="13">
      <c r="A534" s="11"/>
      <c r="B534" s="11"/>
    </row>
    <row r="535" spans="1:2" ht="13">
      <c r="A535" s="11"/>
      <c r="B535" s="11"/>
    </row>
    <row r="536" spans="1:2" ht="13">
      <c r="A536" s="11"/>
      <c r="B536" s="11"/>
    </row>
    <row r="537" spans="1:2" ht="13">
      <c r="A537" s="11"/>
      <c r="B537" s="11"/>
    </row>
    <row r="538" spans="1:2" ht="13">
      <c r="A538" s="11"/>
      <c r="B538" s="11"/>
    </row>
    <row r="539" spans="1:2" ht="13">
      <c r="A539" s="11"/>
      <c r="B539" s="11"/>
    </row>
    <row r="540" spans="1:2" ht="13">
      <c r="A540" s="11"/>
      <c r="B540" s="11"/>
    </row>
    <row r="541" spans="1:2" ht="13">
      <c r="A541" s="11"/>
      <c r="B541" s="11"/>
    </row>
    <row r="542" spans="1:2" ht="13">
      <c r="A542" s="11"/>
      <c r="B542" s="11"/>
    </row>
    <row r="543" spans="1:2" ht="13">
      <c r="A543" s="11"/>
      <c r="B543" s="11"/>
    </row>
    <row r="544" spans="1:2" ht="13">
      <c r="A544" s="11"/>
      <c r="B544" s="11"/>
    </row>
    <row r="545" spans="1:2" ht="13">
      <c r="A545" s="11"/>
      <c r="B545" s="11"/>
    </row>
    <row r="546" spans="1:2" ht="13">
      <c r="A546" s="11"/>
      <c r="B546" s="11"/>
    </row>
    <row r="547" spans="1:2" ht="13">
      <c r="A547" s="11"/>
      <c r="B547" s="11"/>
    </row>
    <row r="548" spans="1:2" ht="13">
      <c r="A548" s="11"/>
      <c r="B548" s="11"/>
    </row>
    <row r="549" spans="1:2" ht="13">
      <c r="A549" s="11"/>
      <c r="B549" s="11"/>
    </row>
    <row r="550" spans="1:2" ht="13">
      <c r="A550" s="11"/>
      <c r="B550" s="11"/>
    </row>
    <row r="551" spans="1:2" ht="13">
      <c r="A551" s="11"/>
      <c r="B551" s="11"/>
    </row>
    <row r="552" spans="1:2" ht="13">
      <c r="A552" s="11"/>
      <c r="B552" s="11"/>
    </row>
    <row r="553" spans="1:2" ht="13">
      <c r="A553" s="11"/>
      <c r="B553" s="11"/>
    </row>
    <row r="554" spans="1:2" ht="13">
      <c r="A554" s="11"/>
      <c r="B554" s="11"/>
    </row>
    <row r="555" spans="1:2" ht="13">
      <c r="A555" s="11"/>
      <c r="B555" s="11"/>
    </row>
    <row r="556" spans="1:2" ht="13">
      <c r="A556" s="11"/>
      <c r="B556" s="11"/>
    </row>
    <row r="557" spans="1:2" ht="13">
      <c r="A557" s="11"/>
      <c r="B557" s="11"/>
    </row>
    <row r="558" spans="1:2" ht="13">
      <c r="A558" s="11"/>
      <c r="B558" s="11"/>
    </row>
    <row r="559" spans="1:2" ht="13">
      <c r="A559" s="11"/>
      <c r="B559" s="11"/>
    </row>
    <row r="560" spans="1:2" ht="13">
      <c r="A560" s="11"/>
      <c r="B560" s="11"/>
    </row>
    <row r="561" spans="1:2" ht="13">
      <c r="A561" s="11"/>
      <c r="B561" s="11"/>
    </row>
    <row r="562" spans="1:2" ht="13">
      <c r="A562" s="11"/>
      <c r="B562" s="11"/>
    </row>
    <row r="563" spans="1:2" ht="13">
      <c r="A563" s="11"/>
      <c r="B563" s="11"/>
    </row>
    <row r="564" spans="1:2" ht="13">
      <c r="A564" s="11"/>
      <c r="B564" s="11"/>
    </row>
    <row r="565" spans="1:2" ht="13">
      <c r="A565" s="11"/>
      <c r="B565" s="11"/>
    </row>
    <row r="566" spans="1:2" ht="13">
      <c r="A566" s="11"/>
      <c r="B566" s="11"/>
    </row>
    <row r="567" spans="1:2" ht="13">
      <c r="A567" s="11"/>
      <c r="B567" s="11"/>
    </row>
    <row r="568" spans="1:2" ht="13">
      <c r="A568" s="11"/>
      <c r="B568" s="11"/>
    </row>
    <row r="569" spans="1:2" ht="13">
      <c r="A569" s="11"/>
      <c r="B569" s="11"/>
    </row>
    <row r="570" spans="1:2" ht="13">
      <c r="A570" s="11"/>
      <c r="B570" s="11"/>
    </row>
    <row r="571" spans="1:2" ht="13">
      <c r="A571" s="11"/>
      <c r="B571" s="11"/>
    </row>
    <row r="572" spans="1:2" ht="13">
      <c r="A572" s="11"/>
      <c r="B572" s="11"/>
    </row>
    <row r="573" spans="1:2" ht="13">
      <c r="A573" s="11"/>
      <c r="B573" s="11"/>
    </row>
    <row r="574" spans="1:2" ht="13">
      <c r="A574" s="11"/>
      <c r="B574" s="11"/>
    </row>
    <row r="575" spans="1:2" ht="13">
      <c r="A575" s="11"/>
      <c r="B575" s="11"/>
    </row>
    <row r="576" spans="1:2" ht="13">
      <c r="A576" s="11"/>
      <c r="B576" s="11"/>
    </row>
    <row r="577" spans="1:2" ht="13">
      <c r="A577" s="11"/>
      <c r="B577" s="11"/>
    </row>
    <row r="578" spans="1:2" ht="13">
      <c r="A578" s="11"/>
      <c r="B578" s="11"/>
    </row>
    <row r="579" spans="1:2" ht="13">
      <c r="A579" s="11"/>
      <c r="B579" s="11"/>
    </row>
    <row r="580" spans="1:2" ht="13">
      <c r="A580" s="11"/>
      <c r="B580" s="11"/>
    </row>
    <row r="581" spans="1:2" ht="13">
      <c r="A581" s="11"/>
      <c r="B581" s="11"/>
    </row>
    <row r="582" spans="1:2" ht="13">
      <c r="A582" s="11"/>
      <c r="B582" s="11"/>
    </row>
    <row r="583" spans="1:2" ht="13">
      <c r="A583" s="11"/>
      <c r="B583" s="11"/>
    </row>
    <row r="584" spans="1:2" ht="13">
      <c r="A584" s="11"/>
      <c r="B584" s="11"/>
    </row>
    <row r="585" spans="1:2" ht="13">
      <c r="A585" s="11"/>
      <c r="B585" s="11"/>
    </row>
    <row r="586" spans="1:2" ht="13">
      <c r="A586" s="11"/>
      <c r="B586" s="11"/>
    </row>
    <row r="587" spans="1:2" ht="13">
      <c r="A587" s="11"/>
      <c r="B587" s="11"/>
    </row>
    <row r="588" spans="1:2" ht="13">
      <c r="A588" s="11"/>
      <c r="B588" s="11"/>
    </row>
    <row r="589" spans="1:2" ht="13">
      <c r="A589" s="11"/>
      <c r="B589" s="11"/>
    </row>
    <row r="590" spans="1:2" ht="13">
      <c r="A590" s="11"/>
      <c r="B590" s="11"/>
    </row>
    <row r="591" spans="1:2" ht="13">
      <c r="A591" s="11"/>
      <c r="B591" s="11"/>
    </row>
    <row r="592" spans="1:2" ht="13">
      <c r="A592" s="11"/>
      <c r="B592" s="11"/>
    </row>
    <row r="593" spans="1:2" ht="13">
      <c r="A593" s="11"/>
      <c r="B593" s="11"/>
    </row>
    <row r="594" spans="1:2" ht="13">
      <c r="A594" s="11"/>
      <c r="B594" s="11"/>
    </row>
    <row r="595" spans="1:2" ht="13">
      <c r="A595" s="11"/>
      <c r="B595" s="11"/>
    </row>
    <row r="596" spans="1:2" ht="13">
      <c r="A596" s="11"/>
      <c r="B596" s="11"/>
    </row>
    <row r="597" spans="1:2" ht="13">
      <c r="A597" s="11"/>
      <c r="B597" s="11"/>
    </row>
    <row r="598" spans="1:2" ht="13">
      <c r="A598" s="11"/>
      <c r="B598" s="11"/>
    </row>
    <row r="599" spans="1:2" ht="13">
      <c r="A599" s="11"/>
      <c r="B599" s="11"/>
    </row>
    <row r="600" spans="1:2" ht="13">
      <c r="A600" s="11"/>
      <c r="B600" s="11"/>
    </row>
    <row r="601" spans="1:2" ht="13">
      <c r="A601" s="11"/>
      <c r="B601" s="11"/>
    </row>
    <row r="602" spans="1:2" ht="13">
      <c r="A602" s="11"/>
      <c r="B602" s="11"/>
    </row>
    <row r="603" spans="1:2" ht="13">
      <c r="A603" s="11"/>
      <c r="B603" s="11"/>
    </row>
    <row r="604" spans="1:2" ht="13">
      <c r="A604" s="11"/>
      <c r="B604" s="11"/>
    </row>
    <row r="605" spans="1:2" ht="13">
      <c r="A605" s="11"/>
      <c r="B605" s="11"/>
    </row>
    <row r="606" spans="1:2" ht="13">
      <c r="A606" s="11"/>
      <c r="B606" s="11"/>
    </row>
    <row r="607" spans="1:2" ht="13">
      <c r="A607" s="11"/>
      <c r="B607" s="11"/>
    </row>
    <row r="608" spans="1:2" ht="13">
      <c r="A608" s="11"/>
      <c r="B608" s="11"/>
    </row>
    <row r="609" spans="1:2" ht="13">
      <c r="A609" s="11"/>
      <c r="B609" s="11"/>
    </row>
    <row r="610" spans="1:2" ht="13">
      <c r="A610" s="11"/>
      <c r="B610" s="11"/>
    </row>
    <row r="611" spans="1:2" ht="13">
      <c r="A611" s="11"/>
      <c r="B611" s="11"/>
    </row>
    <row r="612" spans="1:2" ht="13">
      <c r="A612" s="11"/>
      <c r="B612" s="11"/>
    </row>
    <row r="613" spans="1:2" ht="13">
      <c r="A613" s="11"/>
      <c r="B613" s="11"/>
    </row>
    <row r="614" spans="1:2" ht="13">
      <c r="A614" s="11"/>
      <c r="B614" s="11"/>
    </row>
    <row r="615" spans="1:2" ht="13">
      <c r="A615" s="11"/>
      <c r="B615" s="11"/>
    </row>
    <row r="616" spans="1:2" ht="13">
      <c r="A616" s="11"/>
      <c r="B616" s="11"/>
    </row>
    <row r="617" spans="1:2" ht="13">
      <c r="A617" s="11"/>
      <c r="B617" s="11"/>
    </row>
    <row r="618" spans="1:2" ht="13">
      <c r="A618" s="11"/>
      <c r="B618" s="11"/>
    </row>
    <row r="619" spans="1:2" ht="13">
      <c r="A619" s="11"/>
      <c r="B619" s="11"/>
    </row>
    <row r="620" spans="1:2" ht="13">
      <c r="A620" s="11"/>
      <c r="B620" s="11"/>
    </row>
    <row r="621" spans="1:2" ht="13">
      <c r="A621" s="11"/>
      <c r="B621" s="11"/>
    </row>
    <row r="622" spans="1:2" ht="13">
      <c r="A622" s="11"/>
      <c r="B622" s="11"/>
    </row>
    <row r="623" spans="1:2" ht="13">
      <c r="A623" s="11"/>
      <c r="B623" s="11"/>
    </row>
    <row r="624" spans="1:2" ht="13">
      <c r="A624" s="11"/>
      <c r="B624" s="11"/>
    </row>
    <row r="625" spans="1:2" ht="13">
      <c r="A625" s="11"/>
      <c r="B625" s="11"/>
    </row>
    <row r="626" spans="1:2" ht="13">
      <c r="A626" s="11"/>
      <c r="B626" s="11"/>
    </row>
    <row r="627" spans="1:2" ht="13">
      <c r="A627" s="11"/>
      <c r="B627" s="11"/>
    </row>
    <row r="628" spans="1:2" ht="13">
      <c r="A628" s="11"/>
      <c r="B628" s="11"/>
    </row>
    <row r="629" spans="1:2" ht="13">
      <c r="A629" s="11"/>
      <c r="B629" s="11"/>
    </row>
    <row r="630" spans="1:2" ht="13">
      <c r="A630" s="11"/>
      <c r="B630" s="11"/>
    </row>
    <row r="631" spans="1:2" ht="13">
      <c r="A631" s="11"/>
      <c r="B631" s="11"/>
    </row>
    <row r="632" spans="1:2" ht="13">
      <c r="A632" s="11"/>
      <c r="B632" s="11"/>
    </row>
    <row r="633" spans="1:2" ht="13">
      <c r="A633" s="11"/>
      <c r="B633" s="11"/>
    </row>
    <row r="634" spans="1:2" ht="13">
      <c r="A634" s="11"/>
      <c r="B634" s="11"/>
    </row>
    <row r="635" spans="1:2" ht="13">
      <c r="A635" s="11"/>
      <c r="B635" s="11"/>
    </row>
    <row r="636" spans="1:2" ht="13">
      <c r="A636" s="11"/>
      <c r="B636" s="11"/>
    </row>
    <row r="637" spans="1:2" ht="13">
      <c r="A637" s="11"/>
      <c r="B637" s="11"/>
    </row>
    <row r="638" spans="1:2" ht="13">
      <c r="A638" s="11"/>
      <c r="B638" s="11"/>
    </row>
    <row r="639" spans="1:2" ht="13">
      <c r="A639" s="11"/>
      <c r="B639" s="11"/>
    </row>
    <row r="640" spans="1:2" ht="13">
      <c r="A640" s="11"/>
      <c r="B640" s="11"/>
    </row>
    <row r="641" spans="1:2" ht="13">
      <c r="A641" s="11"/>
      <c r="B641" s="11"/>
    </row>
    <row r="642" spans="1:2" ht="13">
      <c r="A642" s="11"/>
      <c r="B642" s="11"/>
    </row>
    <row r="643" spans="1:2" ht="13">
      <c r="A643" s="11"/>
      <c r="B643" s="11"/>
    </row>
    <row r="644" spans="1:2" ht="13">
      <c r="A644" s="11"/>
      <c r="B644" s="11"/>
    </row>
    <row r="645" spans="1:2" ht="13">
      <c r="A645" s="11"/>
      <c r="B645" s="11"/>
    </row>
    <row r="646" spans="1:2" ht="13">
      <c r="A646" s="11"/>
      <c r="B646" s="11"/>
    </row>
    <row r="647" spans="1:2" ht="13">
      <c r="A647" s="11"/>
      <c r="B647" s="11"/>
    </row>
    <row r="648" spans="1:2" ht="13">
      <c r="A648" s="11"/>
      <c r="B648" s="11"/>
    </row>
    <row r="649" spans="1:2" ht="13">
      <c r="A649" s="11"/>
      <c r="B649" s="11"/>
    </row>
    <row r="650" spans="1:2" ht="13">
      <c r="A650" s="11"/>
      <c r="B650" s="11"/>
    </row>
    <row r="651" spans="1:2" ht="13">
      <c r="A651" s="11"/>
      <c r="B651" s="11"/>
    </row>
    <row r="652" spans="1:2" ht="13">
      <c r="A652" s="11"/>
      <c r="B652" s="11"/>
    </row>
    <row r="653" spans="1:2" ht="13">
      <c r="A653" s="11"/>
      <c r="B653" s="11"/>
    </row>
    <row r="654" spans="1:2" ht="13">
      <c r="A654" s="11"/>
      <c r="B654" s="11"/>
    </row>
    <row r="655" spans="1:2" ht="13">
      <c r="A655" s="11"/>
      <c r="B655" s="11"/>
    </row>
    <row r="656" spans="1:2" ht="13">
      <c r="A656" s="11"/>
      <c r="B656" s="11"/>
    </row>
    <row r="657" spans="1:2" ht="13">
      <c r="A657" s="11"/>
      <c r="B657" s="11"/>
    </row>
    <row r="658" spans="1:2" ht="13">
      <c r="A658" s="11"/>
      <c r="B658" s="11"/>
    </row>
    <row r="659" spans="1:2" ht="13">
      <c r="A659" s="11"/>
      <c r="B659" s="11"/>
    </row>
    <row r="660" spans="1:2" ht="13">
      <c r="A660" s="11"/>
      <c r="B660" s="11"/>
    </row>
    <row r="661" spans="1:2" ht="13">
      <c r="A661" s="11"/>
      <c r="B661" s="11"/>
    </row>
    <row r="662" spans="1:2" ht="13">
      <c r="A662" s="11"/>
      <c r="B662" s="11"/>
    </row>
    <row r="663" spans="1:2" ht="13">
      <c r="A663" s="11"/>
      <c r="B663" s="11"/>
    </row>
    <row r="664" spans="1:2" ht="13">
      <c r="A664" s="11"/>
      <c r="B664" s="11"/>
    </row>
    <row r="665" spans="1:2" ht="13">
      <c r="A665" s="11"/>
      <c r="B665" s="11"/>
    </row>
    <row r="666" spans="1:2" ht="13">
      <c r="A666" s="11"/>
      <c r="B666" s="11"/>
    </row>
    <row r="667" spans="1:2" ht="13">
      <c r="A667" s="11"/>
      <c r="B667" s="11"/>
    </row>
    <row r="668" spans="1:2" ht="13">
      <c r="A668" s="11"/>
      <c r="B668" s="11"/>
    </row>
    <row r="669" spans="1:2" ht="13">
      <c r="A669" s="11"/>
      <c r="B669" s="11"/>
    </row>
    <row r="670" spans="1:2" ht="13">
      <c r="A670" s="11"/>
      <c r="B670" s="11"/>
    </row>
    <row r="671" spans="1:2" ht="13">
      <c r="A671" s="11"/>
      <c r="B671" s="11"/>
    </row>
    <row r="672" spans="1:2" ht="13">
      <c r="A672" s="11"/>
      <c r="B672" s="11"/>
    </row>
    <row r="673" spans="1:2" ht="13">
      <c r="A673" s="11"/>
      <c r="B673" s="11"/>
    </row>
    <row r="674" spans="1:2" ht="13">
      <c r="A674" s="11"/>
      <c r="B674" s="11"/>
    </row>
    <row r="675" spans="1:2" ht="13">
      <c r="A675" s="11"/>
      <c r="B675" s="11"/>
    </row>
    <row r="676" spans="1:2" ht="13">
      <c r="A676" s="11"/>
      <c r="B676" s="11"/>
    </row>
    <row r="677" spans="1:2" ht="13">
      <c r="A677" s="11"/>
      <c r="B677" s="11"/>
    </row>
    <row r="678" spans="1:2" ht="13">
      <c r="A678" s="11"/>
      <c r="B678" s="11"/>
    </row>
    <row r="679" spans="1:2" ht="13">
      <c r="A679" s="11"/>
      <c r="B679" s="11"/>
    </row>
    <row r="680" spans="1:2" ht="13">
      <c r="A680" s="11"/>
      <c r="B680" s="11"/>
    </row>
    <row r="681" spans="1:2" ht="13">
      <c r="A681" s="11"/>
      <c r="B681" s="11"/>
    </row>
    <row r="682" spans="1:2" ht="13">
      <c r="A682" s="11"/>
      <c r="B682" s="11"/>
    </row>
    <row r="683" spans="1:2" ht="13">
      <c r="A683" s="11"/>
      <c r="B683" s="11"/>
    </row>
    <row r="684" spans="1:2" ht="13">
      <c r="A684" s="11"/>
      <c r="B684" s="11"/>
    </row>
    <row r="685" spans="1:2" ht="13">
      <c r="A685" s="11"/>
      <c r="B685" s="11"/>
    </row>
    <row r="686" spans="1:2" ht="13">
      <c r="A686" s="11"/>
      <c r="B686" s="11"/>
    </row>
    <row r="687" spans="1:2" ht="13">
      <c r="A687" s="11"/>
      <c r="B687" s="11"/>
    </row>
    <row r="688" spans="1:2" ht="13">
      <c r="A688" s="11"/>
      <c r="B688" s="11"/>
    </row>
    <row r="689" spans="1:2" ht="13">
      <c r="A689" s="11"/>
      <c r="B689" s="11"/>
    </row>
    <row r="690" spans="1:2" ht="13">
      <c r="A690" s="11"/>
      <c r="B690" s="11"/>
    </row>
    <row r="691" spans="1:2" ht="13">
      <c r="A691" s="11"/>
      <c r="B691" s="11"/>
    </row>
    <row r="692" spans="1:2" ht="13">
      <c r="A692" s="11"/>
      <c r="B692" s="11"/>
    </row>
    <row r="693" spans="1:2" ht="13">
      <c r="A693" s="11"/>
      <c r="B693" s="11"/>
    </row>
    <row r="694" spans="1:2" ht="13">
      <c r="A694" s="11"/>
      <c r="B694" s="11"/>
    </row>
    <row r="695" spans="1:2" ht="13">
      <c r="A695" s="11"/>
      <c r="B695" s="11"/>
    </row>
    <row r="696" spans="1:2" ht="13">
      <c r="A696" s="11"/>
      <c r="B696" s="11"/>
    </row>
    <row r="697" spans="1:2" ht="13">
      <c r="A697" s="11"/>
      <c r="B697" s="11"/>
    </row>
    <row r="698" spans="1:2" ht="13">
      <c r="A698" s="11"/>
      <c r="B698" s="11"/>
    </row>
    <row r="699" spans="1:2" ht="13">
      <c r="A699" s="11"/>
      <c r="B699" s="11"/>
    </row>
    <row r="700" spans="1:2" ht="13">
      <c r="A700" s="11"/>
      <c r="B700" s="11"/>
    </row>
    <row r="701" spans="1:2" ht="13">
      <c r="A701" s="11"/>
      <c r="B701" s="11"/>
    </row>
    <row r="702" spans="1:2" ht="13">
      <c r="A702" s="11"/>
      <c r="B702" s="11"/>
    </row>
    <row r="703" spans="1:2" ht="13">
      <c r="A703" s="11"/>
      <c r="B703" s="11"/>
    </row>
    <row r="704" spans="1:2" ht="13">
      <c r="A704" s="11"/>
      <c r="B704" s="11"/>
    </row>
    <row r="705" spans="1:2" ht="13">
      <c r="A705" s="11"/>
      <c r="B705" s="11"/>
    </row>
    <row r="706" spans="1:2" ht="13">
      <c r="A706" s="11"/>
      <c r="B706" s="11"/>
    </row>
    <row r="707" spans="1:2" ht="13">
      <c r="A707" s="11"/>
      <c r="B707" s="11"/>
    </row>
    <row r="708" spans="1:2" ht="13">
      <c r="A708" s="11"/>
      <c r="B708" s="11"/>
    </row>
    <row r="709" spans="1:2" ht="13">
      <c r="A709" s="11"/>
      <c r="B709" s="11"/>
    </row>
    <row r="710" spans="1:2" ht="13">
      <c r="A710" s="11"/>
      <c r="B710" s="11"/>
    </row>
    <row r="711" spans="1:2" ht="13">
      <c r="A711" s="11"/>
      <c r="B711" s="11"/>
    </row>
    <row r="712" spans="1:2" ht="13">
      <c r="A712" s="11"/>
      <c r="B712" s="11"/>
    </row>
    <row r="713" spans="1:2" ht="13">
      <c r="A713" s="11"/>
      <c r="B713" s="11"/>
    </row>
    <row r="714" spans="1:2" ht="13">
      <c r="A714" s="11"/>
      <c r="B714" s="11"/>
    </row>
    <row r="715" spans="1:2" ht="13">
      <c r="A715" s="11"/>
      <c r="B715" s="11"/>
    </row>
    <row r="716" spans="1:2" ht="13">
      <c r="A716" s="11"/>
      <c r="B716" s="11"/>
    </row>
    <row r="717" spans="1:2" ht="13">
      <c r="A717" s="11"/>
      <c r="B717" s="11"/>
    </row>
    <row r="718" spans="1:2" ht="13">
      <c r="A718" s="11"/>
      <c r="B718" s="11"/>
    </row>
    <row r="719" spans="1:2" ht="13">
      <c r="A719" s="11"/>
      <c r="B719" s="11"/>
    </row>
    <row r="720" spans="1:2" ht="13">
      <c r="A720" s="11"/>
      <c r="B720" s="11"/>
    </row>
    <row r="721" spans="1:2" ht="13">
      <c r="A721" s="11"/>
      <c r="B721" s="11"/>
    </row>
    <row r="722" spans="1:2" ht="13">
      <c r="A722" s="11"/>
      <c r="B722" s="11"/>
    </row>
    <row r="723" spans="1:2" ht="13">
      <c r="A723" s="11"/>
      <c r="B723" s="11"/>
    </row>
    <row r="724" spans="1:2" ht="13">
      <c r="A724" s="11"/>
      <c r="B724" s="11"/>
    </row>
    <row r="725" spans="1:2" ht="13">
      <c r="A725" s="11"/>
      <c r="B725" s="11"/>
    </row>
    <row r="726" spans="1:2" ht="13">
      <c r="A726" s="11"/>
      <c r="B726" s="11"/>
    </row>
    <row r="727" spans="1:2" ht="13">
      <c r="A727" s="11"/>
      <c r="B727" s="11"/>
    </row>
    <row r="728" spans="1:2" ht="13">
      <c r="A728" s="11"/>
      <c r="B728" s="11"/>
    </row>
    <row r="729" spans="1:2" ht="13">
      <c r="A729" s="11"/>
      <c r="B729" s="11"/>
    </row>
    <row r="730" spans="1:2" ht="13">
      <c r="A730" s="11"/>
      <c r="B730" s="11"/>
    </row>
    <row r="731" spans="1:2" ht="13">
      <c r="A731" s="11"/>
      <c r="B731" s="11"/>
    </row>
    <row r="732" spans="1:2" ht="13">
      <c r="A732" s="11"/>
      <c r="B732" s="11"/>
    </row>
    <row r="733" spans="1:2" ht="13">
      <c r="A733" s="11"/>
      <c r="B733" s="11"/>
    </row>
    <row r="734" spans="1:2" ht="13">
      <c r="A734" s="11"/>
      <c r="B734" s="11"/>
    </row>
    <row r="735" spans="1:2" ht="13">
      <c r="A735" s="11"/>
      <c r="B735" s="11"/>
    </row>
    <row r="736" spans="1:2" ht="13">
      <c r="A736" s="11"/>
      <c r="B736" s="11"/>
    </row>
    <row r="737" spans="1:2" ht="13">
      <c r="A737" s="11"/>
      <c r="B737" s="11"/>
    </row>
    <row r="738" spans="1:2" ht="13">
      <c r="A738" s="11"/>
      <c r="B738" s="11"/>
    </row>
    <row r="739" spans="1:2" ht="13">
      <c r="A739" s="11"/>
      <c r="B739" s="11"/>
    </row>
    <row r="740" spans="1:2" ht="13">
      <c r="A740" s="11"/>
      <c r="B740" s="11"/>
    </row>
    <row r="741" spans="1:2" ht="13">
      <c r="A741" s="11"/>
      <c r="B741" s="11"/>
    </row>
    <row r="742" spans="1:2" ht="13">
      <c r="A742" s="11"/>
      <c r="B742" s="11"/>
    </row>
    <row r="743" spans="1:2" ht="13">
      <c r="A743" s="11"/>
      <c r="B743" s="11"/>
    </row>
    <row r="744" spans="1:2" ht="13">
      <c r="A744" s="11"/>
      <c r="B744" s="11"/>
    </row>
    <row r="745" spans="1:2" ht="13">
      <c r="A745" s="11"/>
      <c r="B745" s="11"/>
    </row>
    <row r="746" spans="1:2" ht="13">
      <c r="A746" s="11"/>
      <c r="B746" s="11"/>
    </row>
    <row r="747" spans="1:2" ht="13">
      <c r="A747" s="11"/>
      <c r="B747" s="11"/>
    </row>
    <row r="748" spans="1:2" ht="13">
      <c r="A748" s="11"/>
      <c r="B748" s="11"/>
    </row>
    <row r="749" spans="1:2" ht="13">
      <c r="A749" s="11"/>
      <c r="B749" s="11"/>
    </row>
    <row r="750" spans="1:2" ht="13">
      <c r="A750" s="11"/>
      <c r="B750" s="11"/>
    </row>
    <row r="751" spans="1:2" ht="13">
      <c r="A751" s="11"/>
      <c r="B751" s="11"/>
    </row>
    <row r="752" spans="1:2" ht="13">
      <c r="A752" s="11"/>
      <c r="B752" s="11"/>
    </row>
    <row r="753" spans="1:2" ht="13">
      <c r="A753" s="11"/>
      <c r="B753" s="11"/>
    </row>
    <row r="754" spans="1:2" ht="13">
      <c r="A754" s="11"/>
      <c r="B754" s="11"/>
    </row>
    <row r="755" spans="1:2" ht="13">
      <c r="A755" s="11"/>
      <c r="B755" s="11"/>
    </row>
    <row r="756" spans="1:2" ht="13">
      <c r="A756" s="11"/>
      <c r="B756" s="11"/>
    </row>
    <row r="757" spans="1:2" ht="13">
      <c r="A757" s="11"/>
      <c r="B757" s="11"/>
    </row>
    <row r="758" spans="1:2" ht="13">
      <c r="A758" s="11"/>
      <c r="B758" s="11"/>
    </row>
    <row r="759" spans="1:2" ht="13">
      <c r="A759" s="11"/>
      <c r="B759" s="11"/>
    </row>
    <row r="760" spans="1:2" ht="13">
      <c r="A760" s="11"/>
      <c r="B760" s="11"/>
    </row>
    <row r="761" spans="1:2" ht="13">
      <c r="A761" s="11"/>
      <c r="B761" s="11"/>
    </row>
    <row r="762" spans="1:2" ht="13">
      <c r="A762" s="11"/>
      <c r="B762" s="11"/>
    </row>
    <row r="763" spans="1:2" ht="13">
      <c r="A763" s="11"/>
      <c r="B763" s="11"/>
    </row>
    <row r="764" spans="1:2" ht="13">
      <c r="A764" s="11"/>
      <c r="B764" s="11"/>
    </row>
    <row r="765" spans="1:2" ht="13">
      <c r="A765" s="11"/>
      <c r="B765" s="11"/>
    </row>
    <row r="766" spans="1:2" ht="13">
      <c r="A766" s="11"/>
      <c r="B766" s="11"/>
    </row>
    <row r="767" spans="1:2" ht="13">
      <c r="A767" s="11"/>
      <c r="B767" s="11"/>
    </row>
    <row r="768" spans="1:2" ht="13">
      <c r="A768" s="11"/>
      <c r="B768" s="11"/>
    </row>
    <row r="769" spans="1:2" ht="13">
      <c r="A769" s="11"/>
      <c r="B769" s="11"/>
    </row>
    <row r="770" spans="1:2" ht="13">
      <c r="A770" s="11"/>
      <c r="B770" s="11"/>
    </row>
    <row r="771" spans="1:2" ht="13">
      <c r="A771" s="11"/>
      <c r="B771" s="11"/>
    </row>
    <row r="772" spans="1:2" ht="13">
      <c r="A772" s="11"/>
      <c r="B772" s="11"/>
    </row>
    <row r="773" spans="1:2" ht="13">
      <c r="A773" s="11"/>
      <c r="B773" s="11"/>
    </row>
    <row r="774" spans="1:2" ht="13">
      <c r="A774" s="11"/>
      <c r="B774" s="11"/>
    </row>
    <row r="775" spans="1:2" ht="13">
      <c r="A775" s="11"/>
      <c r="B775" s="11"/>
    </row>
    <row r="776" spans="1:2" ht="13">
      <c r="A776" s="11"/>
      <c r="B776" s="11"/>
    </row>
    <row r="777" spans="1:2" ht="13">
      <c r="A777" s="11"/>
      <c r="B777" s="11"/>
    </row>
    <row r="778" spans="1:2" ht="13">
      <c r="A778" s="11"/>
      <c r="B778" s="11"/>
    </row>
    <row r="779" spans="1:2" ht="13">
      <c r="A779" s="11"/>
      <c r="B779" s="11"/>
    </row>
    <row r="780" spans="1:2" ht="13">
      <c r="A780" s="11"/>
      <c r="B780" s="11"/>
    </row>
    <row r="781" spans="1:2" ht="13">
      <c r="A781" s="11"/>
      <c r="B781" s="11"/>
    </row>
    <row r="782" spans="1:2" ht="13">
      <c r="A782" s="11"/>
      <c r="B782" s="11"/>
    </row>
    <row r="783" spans="1:2" ht="13">
      <c r="A783" s="11"/>
      <c r="B783" s="11"/>
    </row>
    <row r="784" spans="1:2" ht="13">
      <c r="A784" s="11"/>
      <c r="B784" s="11"/>
    </row>
    <row r="785" spans="1:2" ht="13">
      <c r="A785" s="11"/>
      <c r="B785" s="11"/>
    </row>
    <row r="786" spans="1:2" ht="13">
      <c r="A786" s="11"/>
      <c r="B786" s="11"/>
    </row>
    <row r="787" spans="1:2" ht="13">
      <c r="A787" s="11"/>
      <c r="B787" s="11"/>
    </row>
    <row r="788" spans="1:2" ht="13">
      <c r="A788" s="11"/>
      <c r="B788" s="11"/>
    </row>
    <row r="789" spans="1:2" ht="13">
      <c r="A789" s="11"/>
      <c r="B789" s="11"/>
    </row>
    <row r="790" spans="1:2" ht="13">
      <c r="A790" s="11"/>
      <c r="B790" s="11"/>
    </row>
    <row r="791" spans="1:2" ht="13">
      <c r="A791" s="11"/>
      <c r="B791" s="11"/>
    </row>
    <row r="792" spans="1:2" ht="13">
      <c r="A792" s="11"/>
      <c r="B792" s="11"/>
    </row>
    <row r="793" spans="1:2" ht="13">
      <c r="A793" s="11"/>
      <c r="B793" s="11"/>
    </row>
    <row r="794" spans="1:2" ht="13">
      <c r="A794" s="11"/>
      <c r="B794" s="11"/>
    </row>
    <row r="795" spans="1:2" ht="13">
      <c r="A795" s="11"/>
      <c r="B795" s="11"/>
    </row>
    <row r="796" spans="1:2" ht="13">
      <c r="A796" s="11"/>
      <c r="B796" s="11"/>
    </row>
    <row r="797" spans="1:2" ht="13">
      <c r="A797" s="11"/>
      <c r="B797" s="11"/>
    </row>
    <row r="798" spans="1:2" ht="13">
      <c r="A798" s="11"/>
      <c r="B798" s="11"/>
    </row>
    <row r="799" spans="1:2" ht="13">
      <c r="A799" s="11"/>
      <c r="B799" s="11"/>
    </row>
    <row r="800" spans="1:2" ht="13">
      <c r="A800" s="11"/>
      <c r="B800" s="11"/>
    </row>
    <row r="801" spans="1:2" ht="13">
      <c r="A801" s="11"/>
      <c r="B801" s="11"/>
    </row>
    <row r="802" spans="1:2" ht="13">
      <c r="A802" s="11"/>
      <c r="B802" s="11"/>
    </row>
    <row r="803" spans="1:2" ht="13">
      <c r="A803" s="11"/>
      <c r="B803" s="11"/>
    </row>
    <row r="804" spans="1:2" ht="13">
      <c r="A804" s="11"/>
      <c r="B804" s="11"/>
    </row>
    <row r="805" spans="1:2" ht="13">
      <c r="A805" s="11"/>
      <c r="B805" s="11"/>
    </row>
    <row r="806" spans="1:2" ht="13">
      <c r="A806" s="11"/>
      <c r="B806" s="11"/>
    </row>
    <row r="807" spans="1:2" ht="13">
      <c r="A807" s="11"/>
      <c r="B807" s="11"/>
    </row>
    <row r="808" spans="1:2" ht="13">
      <c r="A808" s="11"/>
      <c r="B808" s="11"/>
    </row>
    <row r="809" spans="1:2" ht="13">
      <c r="A809" s="11"/>
      <c r="B809" s="11"/>
    </row>
    <row r="810" spans="1:2" ht="13">
      <c r="A810" s="11"/>
      <c r="B810" s="11"/>
    </row>
    <row r="811" spans="1:2" ht="13">
      <c r="A811" s="11"/>
      <c r="B811" s="11"/>
    </row>
    <row r="812" spans="1:2" ht="13">
      <c r="A812" s="11"/>
      <c r="B812" s="11"/>
    </row>
    <row r="813" spans="1:2" ht="13">
      <c r="A813" s="11"/>
      <c r="B813" s="11"/>
    </row>
    <row r="814" spans="1:2" ht="13">
      <c r="A814" s="11"/>
      <c r="B814" s="11"/>
    </row>
    <row r="815" spans="1:2" ht="13">
      <c r="A815" s="11"/>
      <c r="B815" s="11"/>
    </row>
    <row r="816" spans="1:2" ht="13">
      <c r="A816" s="11"/>
      <c r="B816" s="11"/>
    </row>
    <row r="817" spans="1:2" ht="13">
      <c r="A817" s="11"/>
      <c r="B817" s="11"/>
    </row>
    <row r="818" spans="1:2" ht="13">
      <c r="A818" s="11"/>
      <c r="B818" s="11"/>
    </row>
    <row r="819" spans="1:2" ht="13">
      <c r="A819" s="11"/>
      <c r="B819" s="11"/>
    </row>
    <row r="820" spans="1:2" ht="13">
      <c r="A820" s="11"/>
      <c r="B820" s="11"/>
    </row>
    <row r="821" spans="1:2" ht="13">
      <c r="A821" s="11"/>
      <c r="B821" s="11"/>
    </row>
    <row r="822" spans="1:2" ht="13">
      <c r="A822" s="11"/>
      <c r="B822" s="11"/>
    </row>
    <row r="823" spans="1:2" ht="13">
      <c r="A823" s="11"/>
      <c r="B823" s="11"/>
    </row>
    <row r="824" spans="1:2" ht="13">
      <c r="A824" s="11"/>
      <c r="B824" s="11"/>
    </row>
    <row r="825" spans="1:2" ht="13">
      <c r="A825" s="11"/>
      <c r="B825" s="11"/>
    </row>
    <row r="826" spans="1:2" ht="13">
      <c r="A826" s="11"/>
      <c r="B826" s="11"/>
    </row>
    <row r="827" spans="1:2" ht="13">
      <c r="A827" s="11"/>
      <c r="B827" s="11"/>
    </row>
    <row r="828" spans="1:2" ht="13">
      <c r="A828" s="11"/>
      <c r="B828" s="11"/>
    </row>
    <row r="829" spans="1:2" ht="13">
      <c r="A829" s="11"/>
      <c r="B829" s="11"/>
    </row>
    <row r="830" spans="1:2" ht="13">
      <c r="A830" s="11"/>
      <c r="B830" s="11"/>
    </row>
    <row r="831" spans="1:2" ht="13">
      <c r="A831" s="11"/>
      <c r="B831" s="11"/>
    </row>
    <row r="832" spans="1:2" ht="13">
      <c r="A832" s="11"/>
      <c r="B832" s="11"/>
    </row>
    <row r="833" spans="1:2" ht="13">
      <c r="A833" s="11"/>
      <c r="B833" s="11"/>
    </row>
    <row r="834" spans="1:2" ht="13">
      <c r="A834" s="11"/>
      <c r="B834" s="11"/>
    </row>
    <row r="835" spans="1:2" ht="13">
      <c r="A835" s="11"/>
      <c r="B835" s="11"/>
    </row>
    <row r="836" spans="1:2" ht="13">
      <c r="A836" s="11"/>
      <c r="B836" s="11"/>
    </row>
    <row r="837" spans="1:2" ht="13">
      <c r="A837" s="11"/>
      <c r="B837" s="11"/>
    </row>
    <row r="838" spans="1:2" ht="13">
      <c r="A838" s="11"/>
      <c r="B838" s="11"/>
    </row>
    <row r="839" spans="1:2" ht="13">
      <c r="A839" s="11"/>
      <c r="B839" s="11"/>
    </row>
    <row r="840" spans="1:2" ht="13">
      <c r="A840" s="11"/>
      <c r="B840" s="11"/>
    </row>
    <row r="841" spans="1:2" ht="13">
      <c r="A841" s="11"/>
      <c r="B841" s="11"/>
    </row>
    <row r="842" spans="1:2" ht="13">
      <c r="A842" s="11"/>
      <c r="B842" s="11"/>
    </row>
    <row r="843" spans="1:2" ht="13">
      <c r="A843" s="11"/>
      <c r="B843" s="11"/>
    </row>
    <row r="844" spans="1:2" ht="13">
      <c r="A844" s="11"/>
      <c r="B844" s="11"/>
    </row>
    <row r="845" spans="1:2" ht="13">
      <c r="A845" s="11"/>
      <c r="B845" s="11"/>
    </row>
    <row r="846" spans="1:2" ht="13">
      <c r="A846" s="11"/>
      <c r="B846" s="11"/>
    </row>
    <row r="847" spans="1:2" ht="13">
      <c r="A847" s="11"/>
      <c r="B847" s="11"/>
    </row>
    <row r="848" spans="1:2" ht="13">
      <c r="A848" s="11"/>
      <c r="B848" s="11"/>
    </row>
    <row r="849" spans="1:2" ht="13">
      <c r="A849" s="11"/>
      <c r="B849" s="11"/>
    </row>
    <row r="850" spans="1:2" ht="13">
      <c r="A850" s="11"/>
      <c r="B850" s="11"/>
    </row>
    <row r="851" spans="1:2" ht="13">
      <c r="A851" s="11"/>
      <c r="B851" s="11"/>
    </row>
    <row r="852" spans="1:2" ht="13">
      <c r="A852" s="11"/>
      <c r="B852" s="11"/>
    </row>
    <row r="853" spans="1:2" ht="13">
      <c r="A853" s="11"/>
      <c r="B853" s="11"/>
    </row>
    <row r="854" spans="1:2" ht="13">
      <c r="A854" s="11"/>
      <c r="B854" s="11"/>
    </row>
    <row r="855" spans="1:2" ht="13">
      <c r="A855" s="11"/>
      <c r="B855" s="11"/>
    </row>
    <row r="856" spans="1:2" ht="13">
      <c r="A856" s="11"/>
      <c r="B856" s="11"/>
    </row>
    <row r="857" spans="1:2" ht="13">
      <c r="A857" s="11"/>
      <c r="B857" s="11"/>
    </row>
    <row r="858" spans="1:2" ht="13">
      <c r="A858" s="11"/>
      <c r="B858" s="11"/>
    </row>
    <row r="859" spans="1:2" ht="13">
      <c r="A859" s="11"/>
      <c r="B859" s="11"/>
    </row>
    <row r="860" spans="1:2" ht="13">
      <c r="A860" s="11"/>
      <c r="B860" s="11"/>
    </row>
    <row r="861" spans="1:2" ht="13">
      <c r="A861" s="11"/>
      <c r="B861" s="11"/>
    </row>
    <row r="862" spans="1:2" ht="13">
      <c r="A862" s="11"/>
      <c r="B862" s="11"/>
    </row>
    <row r="863" spans="1:2" ht="13">
      <c r="A863" s="11"/>
      <c r="B863" s="11"/>
    </row>
    <row r="864" spans="1:2" ht="13">
      <c r="A864" s="11"/>
      <c r="B864" s="11"/>
    </row>
    <row r="865" spans="1:2" ht="13">
      <c r="A865" s="11"/>
      <c r="B865" s="11"/>
    </row>
    <row r="866" spans="1:2" ht="13">
      <c r="A866" s="11"/>
      <c r="B866" s="11"/>
    </row>
    <row r="867" spans="1:2" ht="13">
      <c r="A867" s="11"/>
      <c r="B867" s="11"/>
    </row>
    <row r="868" spans="1:2" ht="13">
      <c r="A868" s="11"/>
      <c r="B868" s="11"/>
    </row>
    <row r="869" spans="1:2" ht="13">
      <c r="A869" s="11"/>
      <c r="B869" s="11"/>
    </row>
    <row r="870" spans="1:2" ht="13">
      <c r="A870" s="11"/>
      <c r="B870" s="11"/>
    </row>
    <row r="871" spans="1:2" ht="13">
      <c r="A871" s="11"/>
      <c r="B871" s="11"/>
    </row>
    <row r="872" spans="1:2" ht="13">
      <c r="A872" s="11"/>
      <c r="B872" s="11"/>
    </row>
    <row r="873" spans="1:2" ht="13">
      <c r="A873" s="11"/>
      <c r="B873" s="11"/>
    </row>
    <row r="874" spans="1:2" ht="13">
      <c r="A874" s="11"/>
      <c r="B874" s="11"/>
    </row>
    <row r="875" spans="1:2" ht="13">
      <c r="A875" s="11"/>
      <c r="B875" s="11"/>
    </row>
    <row r="876" spans="1:2" ht="13">
      <c r="A876" s="11"/>
      <c r="B876" s="11"/>
    </row>
    <row r="877" spans="1:2" ht="13">
      <c r="A877" s="11"/>
      <c r="B877" s="11"/>
    </row>
    <row r="878" spans="1:2" ht="13">
      <c r="A878" s="11"/>
      <c r="B878" s="11"/>
    </row>
    <row r="879" spans="1:2" ht="13">
      <c r="A879" s="11"/>
      <c r="B879" s="11"/>
    </row>
    <row r="880" spans="1:2" ht="13">
      <c r="A880" s="11"/>
      <c r="B880" s="11"/>
    </row>
    <row r="881" spans="1:2" ht="13">
      <c r="A881" s="11"/>
      <c r="B881" s="11"/>
    </row>
    <row r="882" spans="1:2" ht="13">
      <c r="A882" s="11"/>
      <c r="B882" s="11"/>
    </row>
    <row r="883" spans="1:2" ht="13">
      <c r="A883" s="11"/>
      <c r="B883" s="11"/>
    </row>
    <row r="884" spans="1:2" ht="13">
      <c r="A884" s="11"/>
      <c r="B884" s="11"/>
    </row>
    <row r="885" spans="1:2" ht="13">
      <c r="A885" s="11"/>
      <c r="B885" s="11"/>
    </row>
    <row r="886" spans="1:2" ht="13">
      <c r="A886" s="11"/>
      <c r="B886" s="11"/>
    </row>
    <row r="887" spans="1:2" ht="13">
      <c r="A887" s="11"/>
      <c r="B887" s="11"/>
    </row>
    <row r="888" spans="1:2" ht="13">
      <c r="A888" s="11"/>
      <c r="B888" s="11"/>
    </row>
    <row r="889" spans="1:2" ht="13">
      <c r="A889" s="11"/>
      <c r="B889" s="11"/>
    </row>
    <row r="890" spans="1:2" ht="13">
      <c r="A890" s="11"/>
      <c r="B890" s="11"/>
    </row>
    <row r="891" spans="1:2" ht="13">
      <c r="A891" s="11"/>
      <c r="B891" s="11"/>
    </row>
    <row r="892" spans="1:2" ht="13">
      <c r="A892" s="11"/>
      <c r="B892" s="11"/>
    </row>
    <row r="893" spans="1:2" ht="13">
      <c r="A893" s="11"/>
      <c r="B893" s="11"/>
    </row>
    <row r="894" spans="1:2" ht="13">
      <c r="A894" s="11"/>
      <c r="B894" s="11"/>
    </row>
    <row r="895" spans="1:2" ht="13">
      <c r="A895" s="11"/>
      <c r="B895" s="11"/>
    </row>
    <row r="896" spans="1:2" ht="13">
      <c r="A896" s="11"/>
      <c r="B896" s="11"/>
    </row>
    <row r="897" spans="1:2" ht="13">
      <c r="A897" s="11"/>
      <c r="B897" s="11"/>
    </row>
    <row r="898" spans="1:2" ht="13">
      <c r="A898" s="11"/>
      <c r="B898" s="11"/>
    </row>
    <row r="899" spans="1:2" ht="13">
      <c r="A899" s="11"/>
      <c r="B899" s="11"/>
    </row>
    <row r="900" spans="1:2" ht="13">
      <c r="A900" s="11"/>
      <c r="B900" s="11"/>
    </row>
    <row r="901" spans="1:2" ht="13">
      <c r="A901" s="11"/>
      <c r="B901" s="11"/>
    </row>
    <row r="902" spans="1:2" ht="13">
      <c r="A902" s="11"/>
      <c r="B902" s="11"/>
    </row>
    <row r="903" spans="1:2" ht="13">
      <c r="A903" s="11"/>
      <c r="B903" s="11"/>
    </row>
    <row r="904" spans="1:2" ht="13">
      <c r="A904" s="11"/>
      <c r="B904" s="11"/>
    </row>
    <row r="905" spans="1:2" ht="13">
      <c r="A905" s="11"/>
      <c r="B905" s="11"/>
    </row>
    <row r="906" spans="1:2" ht="13">
      <c r="A906" s="11"/>
      <c r="B906" s="11"/>
    </row>
    <row r="907" spans="1:2" ht="13">
      <c r="A907" s="11"/>
      <c r="B907" s="11"/>
    </row>
    <row r="908" spans="1:2" ht="13">
      <c r="A908" s="11"/>
      <c r="B908" s="11"/>
    </row>
    <row r="909" spans="1:2" ht="13">
      <c r="A909" s="11"/>
      <c r="B909" s="11"/>
    </row>
    <row r="910" spans="1:2" ht="13">
      <c r="A910" s="11"/>
      <c r="B910" s="11"/>
    </row>
    <row r="911" spans="1:2" ht="13">
      <c r="A911" s="11"/>
      <c r="B911" s="11"/>
    </row>
    <row r="912" spans="1:2" ht="13">
      <c r="A912" s="11"/>
      <c r="B912" s="11"/>
    </row>
    <row r="913" spans="1:2" ht="13">
      <c r="A913" s="11"/>
      <c r="B913" s="11"/>
    </row>
    <row r="914" spans="1:2" ht="13">
      <c r="A914" s="11"/>
      <c r="B914" s="11"/>
    </row>
    <row r="915" spans="1:2" ht="13">
      <c r="A915" s="11"/>
      <c r="B915" s="11"/>
    </row>
    <row r="916" spans="1:2" ht="13">
      <c r="A916" s="11"/>
      <c r="B916" s="11"/>
    </row>
    <row r="917" spans="1:2" ht="13">
      <c r="A917" s="11"/>
      <c r="B917" s="11"/>
    </row>
    <row r="918" spans="1:2" ht="13">
      <c r="A918" s="11"/>
      <c r="B918" s="11"/>
    </row>
    <row r="919" spans="1:2" ht="13">
      <c r="A919" s="11"/>
      <c r="B919" s="11"/>
    </row>
    <row r="920" spans="1:2" ht="13">
      <c r="A920" s="11"/>
      <c r="B920" s="11"/>
    </row>
    <row r="921" spans="1:2" ht="13">
      <c r="A921" s="11"/>
      <c r="B921" s="11"/>
    </row>
    <row r="922" spans="1:2" ht="13">
      <c r="A922" s="11"/>
      <c r="B922" s="11"/>
    </row>
    <row r="923" spans="1:2" ht="13">
      <c r="A923" s="11"/>
      <c r="B923" s="11"/>
    </row>
    <row r="924" spans="1:2" ht="13">
      <c r="A924" s="11"/>
      <c r="B924" s="11"/>
    </row>
    <row r="925" spans="1:2" ht="13">
      <c r="A925" s="11"/>
      <c r="B925" s="11"/>
    </row>
    <row r="926" spans="1:2" ht="13">
      <c r="A926" s="11"/>
      <c r="B926" s="11"/>
    </row>
    <row r="927" spans="1:2" ht="13">
      <c r="A927" s="11"/>
      <c r="B927" s="11"/>
    </row>
    <row r="928" spans="1:2" ht="13">
      <c r="A928" s="11"/>
      <c r="B928" s="11"/>
    </row>
    <row r="929" spans="1:2" ht="13">
      <c r="A929" s="11"/>
      <c r="B929" s="11"/>
    </row>
    <row r="930" spans="1:2" ht="13">
      <c r="A930" s="11"/>
      <c r="B930" s="11"/>
    </row>
    <row r="931" spans="1:2" ht="13">
      <c r="A931" s="11"/>
      <c r="B931" s="11"/>
    </row>
    <row r="932" spans="1:2" ht="13">
      <c r="A932" s="11"/>
      <c r="B932" s="11"/>
    </row>
    <row r="933" spans="1:2" ht="13">
      <c r="A933" s="11"/>
      <c r="B933" s="11"/>
    </row>
    <row r="934" spans="1:2" ht="13">
      <c r="A934" s="11"/>
      <c r="B934" s="11"/>
    </row>
    <row r="935" spans="1:2" ht="13">
      <c r="A935" s="11"/>
      <c r="B935" s="11"/>
    </row>
    <row r="936" spans="1:2" ht="13">
      <c r="A936" s="11"/>
      <c r="B936" s="11"/>
    </row>
    <row r="937" spans="1:2" ht="13">
      <c r="A937" s="11"/>
      <c r="B937" s="11"/>
    </row>
    <row r="938" spans="1:2" ht="13">
      <c r="A938" s="11"/>
      <c r="B938" s="11"/>
    </row>
    <row r="939" spans="1:2" ht="13">
      <c r="A939" s="11"/>
      <c r="B939" s="11"/>
    </row>
    <row r="940" spans="1:2" ht="13">
      <c r="A940" s="11"/>
      <c r="B940" s="11"/>
    </row>
    <row r="941" spans="1:2" ht="13">
      <c r="A941" s="11"/>
      <c r="B941" s="11"/>
    </row>
    <row r="942" spans="1:2" ht="13">
      <c r="A942" s="11"/>
      <c r="B942" s="11"/>
    </row>
    <row r="943" spans="1:2" ht="13">
      <c r="A943" s="11"/>
      <c r="B943" s="11"/>
    </row>
    <row r="944" spans="1:2" ht="13">
      <c r="A944" s="11"/>
      <c r="B944" s="11"/>
    </row>
    <row r="945" spans="1:2" ht="13">
      <c r="A945" s="11"/>
      <c r="B945" s="11"/>
    </row>
    <row r="946" spans="1:2" ht="13">
      <c r="A946" s="11"/>
      <c r="B946" s="11"/>
    </row>
    <row r="947" spans="1:2" ht="13">
      <c r="A947" s="11"/>
      <c r="B947" s="11"/>
    </row>
    <row r="948" spans="1:2" ht="13">
      <c r="A948" s="11"/>
      <c r="B948" s="11"/>
    </row>
    <row r="949" spans="1:2" ht="13">
      <c r="A949" s="11"/>
      <c r="B949" s="11"/>
    </row>
    <row r="950" spans="1:2" ht="13">
      <c r="A950" s="11"/>
      <c r="B950" s="11"/>
    </row>
    <row r="951" spans="1:2" ht="13">
      <c r="A951" s="11"/>
      <c r="B951" s="11"/>
    </row>
    <row r="952" spans="1:2" ht="13">
      <c r="A952" s="11"/>
      <c r="B952" s="11"/>
    </row>
    <row r="953" spans="1:2" ht="13">
      <c r="A953" s="11"/>
      <c r="B953" s="11"/>
    </row>
    <row r="954" spans="1:2" ht="13">
      <c r="A954" s="11"/>
      <c r="B954" s="11"/>
    </row>
    <row r="955" spans="1:2" ht="13">
      <c r="A955" s="11"/>
      <c r="B955" s="11"/>
    </row>
    <row r="956" spans="1:2" ht="13">
      <c r="A956" s="11"/>
      <c r="B956" s="11"/>
    </row>
    <row r="957" spans="1:2" ht="13">
      <c r="A957" s="11"/>
      <c r="B957" s="11"/>
    </row>
    <row r="958" spans="1:2" ht="13">
      <c r="A958" s="11"/>
      <c r="B958" s="11"/>
    </row>
    <row r="959" spans="1:2" ht="13">
      <c r="A959" s="11"/>
      <c r="B959" s="11"/>
    </row>
    <row r="960" spans="1:2" ht="13">
      <c r="A960" s="11"/>
      <c r="B960" s="11"/>
    </row>
    <row r="961" spans="1:2" ht="13">
      <c r="A961" s="11"/>
      <c r="B961" s="11"/>
    </row>
    <row r="962" spans="1:2" ht="13">
      <c r="A962" s="11"/>
      <c r="B962" s="11"/>
    </row>
    <row r="963" spans="1:2" ht="13">
      <c r="A963" s="11"/>
      <c r="B963" s="11"/>
    </row>
    <row r="964" spans="1:2" ht="13">
      <c r="A964" s="11"/>
      <c r="B964" s="11"/>
    </row>
    <row r="965" spans="1:2" ht="13">
      <c r="A965" s="11"/>
      <c r="B965" s="11"/>
    </row>
    <row r="966" spans="1:2" ht="13">
      <c r="A966" s="11"/>
      <c r="B966" s="11"/>
    </row>
    <row r="967" spans="1:2" ht="13">
      <c r="A967" s="11"/>
      <c r="B967" s="11"/>
    </row>
    <row r="968" spans="1:2" ht="13">
      <c r="A968" s="11"/>
      <c r="B968" s="11"/>
    </row>
    <row r="969" spans="1:2" ht="13">
      <c r="A969" s="11"/>
      <c r="B969" s="11"/>
    </row>
    <row r="970" spans="1:2" ht="13">
      <c r="A970" s="11"/>
      <c r="B970" s="11"/>
    </row>
    <row r="971" spans="1:2" ht="13">
      <c r="A971" s="11"/>
      <c r="B971" s="11"/>
    </row>
    <row r="972" spans="1:2" ht="13">
      <c r="A972" s="11"/>
      <c r="B972" s="11"/>
    </row>
    <row r="973" spans="1:2" ht="13">
      <c r="A973" s="11"/>
      <c r="B973" s="11"/>
    </row>
    <row r="974" spans="1:2" ht="13">
      <c r="A974" s="11"/>
      <c r="B974" s="11"/>
    </row>
    <row r="975" spans="1:2" ht="13">
      <c r="A975" s="11"/>
      <c r="B975" s="11"/>
    </row>
    <row r="976" spans="1:2" ht="13">
      <c r="A976" s="11"/>
      <c r="B976" s="11"/>
    </row>
    <row r="977" spans="1:2" ht="13">
      <c r="A977" s="11"/>
      <c r="B977" s="11"/>
    </row>
    <row r="978" spans="1:2" ht="13">
      <c r="A978" s="11"/>
      <c r="B978" s="11"/>
    </row>
    <row r="979" spans="1:2" ht="13">
      <c r="A979" s="11"/>
      <c r="B979" s="11"/>
    </row>
    <row r="980" spans="1:2" ht="13">
      <c r="A980" s="11"/>
      <c r="B980" s="11"/>
    </row>
    <row r="981" spans="1:2" ht="13">
      <c r="A981" s="11"/>
      <c r="B981" s="11"/>
    </row>
    <row r="982" spans="1:2" ht="13">
      <c r="A982" s="11"/>
      <c r="B982" s="11"/>
    </row>
    <row r="983" spans="1:2" ht="13">
      <c r="A983" s="11"/>
      <c r="B983" s="11"/>
    </row>
    <row r="984" spans="1:2" ht="13">
      <c r="A984" s="11"/>
      <c r="B984" s="11"/>
    </row>
    <row r="985" spans="1:2" ht="13">
      <c r="A985" s="11"/>
      <c r="B985" s="11"/>
    </row>
    <row r="986" spans="1:2" ht="13">
      <c r="A986" s="11"/>
      <c r="B986" s="11"/>
    </row>
    <row r="987" spans="1:2" ht="13">
      <c r="A987" s="11"/>
      <c r="B987" s="11"/>
    </row>
    <row r="988" spans="1:2" ht="13">
      <c r="A988" s="11"/>
      <c r="B988" s="11"/>
    </row>
    <row r="989" spans="1:2" ht="13">
      <c r="A989" s="11"/>
      <c r="B989" s="11"/>
    </row>
    <row r="990" spans="1:2" ht="13">
      <c r="A990" s="11"/>
      <c r="B990" s="11"/>
    </row>
    <row r="991" spans="1:2" ht="13">
      <c r="A991" s="11"/>
      <c r="B991" s="11"/>
    </row>
    <row r="992" spans="1:2" ht="13">
      <c r="A992" s="11"/>
      <c r="B992" s="11"/>
    </row>
    <row r="993" spans="1:2" ht="13">
      <c r="A993" s="11"/>
      <c r="B993" s="11"/>
    </row>
    <row r="994" spans="1:2" ht="13">
      <c r="A994" s="11"/>
      <c r="B994" s="11"/>
    </row>
    <row r="995" spans="1:2" ht="13">
      <c r="A995" s="11"/>
      <c r="B995" s="11"/>
    </row>
    <row r="996" spans="1:2" ht="13">
      <c r="A996" s="11"/>
      <c r="B996" s="11"/>
    </row>
    <row r="997" spans="1:2" ht="13">
      <c r="A997" s="11"/>
      <c r="B997" s="11"/>
    </row>
    <row r="998" spans="1:2" ht="13">
      <c r="A998" s="11"/>
      <c r="B998" s="11"/>
    </row>
    <row r="999" spans="1:2" ht="13">
      <c r="A999" s="11"/>
      <c r="B999" s="11"/>
    </row>
    <row r="1000" spans="1:2" ht="13">
      <c r="A1000" s="11"/>
      <c r="B1000" s="11"/>
    </row>
    <row r="1001" spans="1:2" ht="13">
      <c r="A1001" s="11"/>
      <c r="B1001" s="11"/>
    </row>
    <row r="1002" spans="1:2" ht="13">
      <c r="A1002" s="11"/>
      <c r="B1002" s="11"/>
    </row>
    <row r="1003" spans="1:2" ht="13">
      <c r="A1003" s="11"/>
      <c r="B1003" s="11"/>
    </row>
    <row r="1004" spans="1:2" ht="13">
      <c r="A1004" s="11"/>
      <c r="B1004" s="11"/>
    </row>
    <row r="1005" spans="1:2" ht="13">
      <c r="A1005" s="11"/>
      <c r="B1005" s="11"/>
    </row>
    <row r="1006" spans="1:2" ht="13">
      <c r="A1006" s="11"/>
      <c r="B1006" s="11"/>
    </row>
    <row r="1007" spans="1:2" ht="13">
      <c r="A1007" s="11"/>
      <c r="B1007" s="11"/>
    </row>
  </sheetData>
  <sheetProtection algorithmName="SHA-512" hashValue="xeP8bYN7emsmSqACAOckPlMlgEpJMN1KcsiiJ979KJSATc+uHPGPcn/LhwroZsEUNy1rZvF0YiWTzfxq1XTKjQ==" saltValue="yfJ1CO22UiNueUD2q84JrA==" spinCount="100000" sheet="1" objects="1" scenarios="1" selectLockedCell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 summaryRight="0"/>
  </sheetPr>
  <dimension ref="A100:Z114"/>
  <sheetViews>
    <sheetView topLeftCell="A16" zoomScale="162" zoomScaleNormal="162" workbookViewId="0"/>
  </sheetViews>
  <sheetFormatPr baseColWidth="10" defaultColWidth="14.5" defaultRowHeight="15.75" customHeight="1"/>
  <sheetData>
    <row r="100" spans="1:26" ht="15.75" customHeight="1">
      <c r="A100" s="22"/>
      <c r="B100" s="22" t="str">
        <f>'Graph engine'!A16</f>
        <v>ROUND</v>
      </c>
      <c r="C100" s="22" t="str">
        <f>'Graph engine'!J16</f>
        <v>VAT Rate in %</v>
      </c>
      <c r="D100" s="22" t="str">
        <f>'Graph engine'!K16</f>
        <v>Tax on work%</v>
      </c>
      <c r="E100" s="22" t="str">
        <f>'Graph engine'!L16</f>
        <v>State Expenses UBI as percentage of total</v>
      </c>
      <c r="F100" s="23" t="str">
        <f>'Graph engine'!I16</f>
        <v>State Income 0=100</v>
      </c>
      <c r="G100" s="22" t="str">
        <f>'Graph engine'!A16</f>
        <v>ROUND</v>
      </c>
      <c r="H100" s="22" t="str">
        <f>'Graph engine'!B16</f>
        <v xml:space="preserve"> Average Wage start=50/100</v>
      </c>
      <c r="I100" s="22" t="str">
        <f>'Graph engine'!C16</f>
        <v>UBI compared to average wage</v>
      </c>
      <c r="J100" s="57" t="str">
        <f>'Graph engine'!D16</f>
        <v>Minimum (compared to average)</v>
      </c>
      <c r="K100" s="22" t="str">
        <f>'Graph engine'!E16</f>
        <v>Support quota</v>
      </c>
      <c r="L100" s="22" t="str">
        <f>'Graph engine'!F16</f>
        <v>Workforce % of total population</v>
      </c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</row>
    <row r="101" spans="1:26" ht="15.75" customHeight="1">
      <c r="B101">
        <f>'Graph engine'!A17</f>
        <v>0</v>
      </c>
      <c r="C101" s="31">
        <f>'Graph engine'!J17</f>
        <v>25</v>
      </c>
      <c r="D101" s="31">
        <f>'Graph engine'!K17</f>
        <v>60</v>
      </c>
      <c r="E101" s="30">
        <f>'Graph engine'!L17</f>
        <v>1.9900497721541548</v>
      </c>
      <c r="F101" s="23">
        <f>'Graph engine'!I17</f>
        <v>100</v>
      </c>
      <c r="G101" s="22">
        <f>'Graph engine'!A17</f>
        <v>0</v>
      </c>
      <c r="H101" s="57">
        <f>'Graph engine'!B17</f>
        <v>50</v>
      </c>
      <c r="I101" s="57">
        <f>'Graph engine'!C17</f>
        <v>1.6666666666666667</v>
      </c>
      <c r="J101" s="57">
        <f>'Graph engine'!D17</f>
        <v>11.666666666666666</v>
      </c>
      <c r="K101" s="22">
        <f>'Graph engine'!E17</f>
        <v>76</v>
      </c>
      <c r="L101" s="58">
        <f>'Graph engine'!F17</f>
        <v>56.818181818181813</v>
      </c>
    </row>
    <row r="102" spans="1:26" ht="15.75" customHeight="1">
      <c r="B102">
        <f>'Graph engine'!A18</f>
        <v>1</v>
      </c>
      <c r="C102" s="31">
        <f>'Graph engine'!J18</f>
        <v>25</v>
      </c>
      <c r="D102" s="31">
        <f>'Graph engine'!K18</f>
        <v>70</v>
      </c>
      <c r="E102" s="30">
        <f>'Graph engine'!L18</f>
        <v>3.3983200478719868</v>
      </c>
      <c r="F102" s="49">
        <f>IF('Graph engine'!I18=0,"",'Graph engine'!I18)</f>
        <v>121.34014739124258</v>
      </c>
      <c r="G102" s="22">
        <f>'Graph engine'!A18</f>
        <v>1</v>
      </c>
      <c r="H102" s="57">
        <f>IF('Graph engine'!B18=0,"",'Graph engine'!B18)</f>
        <v>55</v>
      </c>
      <c r="I102" s="57">
        <f>'Graph engine'!C18</f>
        <v>3.3333333333333335</v>
      </c>
      <c r="J102" s="57">
        <f>IF('Graph engine'!D18=0,"", 'Graph engine'!D18)</f>
        <v>12.833333333333334</v>
      </c>
      <c r="K102" s="57">
        <f>'Graph engine'!E18</f>
        <v>79.591836734693871</v>
      </c>
      <c r="L102" s="58">
        <f>'Graph engine'!F18</f>
        <v>55.681818181818187</v>
      </c>
    </row>
    <row r="103" spans="1:26" ht="15.75" customHeight="1">
      <c r="B103">
        <f>'Graph engine'!A19</f>
        <v>2</v>
      </c>
      <c r="C103" s="31">
        <f>'Graph engine'!J19</f>
        <v>26</v>
      </c>
      <c r="D103" s="31">
        <f>'Graph engine'!K19</f>
        <v>70</v>
      </c>
      <c r="E103" s="30">
        <f>'Graph engine'!L19</f>
        <v>7.0662333105238133</v>
      </c>
      <c r="F103" s="49">
        <f>IF('Graph engine'!I19=0,"",'Graph engine'!I19)</f>
        <v>120.6890527930081</v>
      </c>
      <c r="G103" s="22">
        <f>'Graph engine'!A19</f>
        <v>2</v>
      </c>
      <c r="H103" s="22">
        <f>IF('Graph engine'!B19=0,"",'Graph engine'!B19)</f>
        <v>55</v>
      </c>
      <c r="I103" s="57">
        <f>IF('Graph engine'!C19=0,"",'Graph engine'!C19)</f>
        <v>6.666666666666667</v>
      </c>
      <c r="J103" s="57">
        <f>IF('Graph engine'!D19=0,"", 'Graph engine'!D19)</f>
        <v>12.833333333333334</v>
      </c>
      <c r="K103" s="57">
        <f>'Graph engine'!E19</f>
        <v>83.256976259891715</v>
      </c>
      <c r="L103" s="58">
        <f>'Graph engine'!F19</f>
        <v>54.568181818181813</v>
      </c>
    </row>
    <row r="104" spans="1:26" ht="15.75" customHeight="1">
      <c r="B104">
        <f>'Graph engine'!A20</f>
        <v>3</v>
      </c>
      <c r="C104" s="31">
        <f>'Graph engine'!J20</f>
        <v>27</v>
      </c>
      <c r="D104" s="31">
        <f>'Graph engine'!K20</f>
        <v>70</v>
      </c>
      <c r="E104" s="30">
        <f>'Graph engine'!L20</f>
        <v>14.507853204899567</v>
      </c>
      <c r="F104" s="49">
        <f>IF('Graph engine'!I20=0,"",'Graph engine'!I20)</f>
        <v>121.36412642517625</v>
      </c>
      <c r="G104" s="22">
        <f>'Graph engine'!A20</f>
        <v>3</v>
      </c>
      <c r="H104" s="22">
        <f>IF('Graph engine'!B20=0,"",'Graph engine'!B20)</f>
        <v>55</v>
      </c>
      <c r="I104" s="57">
        <f>IF('Graph engine'!C20=0,"",'Graph engine'!C20)</f>
        <v>13.333333333333334</v>
      </c>
      <c r="J104" s="57">
        <f>IF('Graph engine'!D20=0,"", 'Graph engine'!D20)</f>
        <v>12.833333333333334</v>
      </c>
      <c r="K104" s="57">
        <f>'Graph engine'!E20</f>
        <v>86.996914550909906</v>
      </c>
      <c r="L104" s="58">
        <f>'Graph engine'!F20</f>
        <v>53.476818181818182</v>
      </c>
    </row>
    <row r="105" spans="1:26" ht="15.75" customHeight="1">
      <c r="B105">
        <f>'Graph engine'!A21</f>
        <v>4</v>
      </c>
      <c r="C105" s="31">
        <f>'Graph engine'!J21</f>
        <v>28</v>
      </c>
      <c r="D105" s="31">
        <f>'Graph engine'!K21</f>
        <v>70</v>
      </c>
      <c r="E105" s="30">
        <f>'Graph engine'!L21</f>
        <v>15.140542831631539</v>
      </c>
      <c r="F105" s="49">
        <f>IF('Graph engine'!I21=0,"",'Graph engine'!I21)</f>
        <v>119.85897022875612</v>
      </c>
      <c r="G105" s="22">
        <f>'Graph engine'!A21</f>
        <v>4</v>
      </c>
      <c r="H105" s="22">
        <f>IF('Graph engine'!B21=0,"",'Graph engine'!B21)</f>
        <v>55</v>
      </c>
      <c r="I105" s="57">
        <f>IF('Graph engine'!C21=0,"",'Graph engine'!C21)</f>
        <v>13.333333333333334</v>
      </c>
      <c r="J105" s="57">
        <f>IF('Graph engine'!D21=0,"", 'Graph engine'!D21)</f>
        <v>12.833333333333334</v>
      </c>
      <c r="K105" s="57">
        <f>'Graph engine'!E21</f>
        <v>90.813178113173379</v>
      </c>
      <c r="L105" s="58">
        <f>'Graph engine'!F21</f>
        <v>52.407281818181822</v>
      </c>
    </row>
    <row r="106" spans="1:26" ht="15.75" customHeight="1">
      <c r="B106">
        <f>'Graph engine'!A22</f>
        <v>5</v>
      </c>
      <c r="C106" s="31">
        <f>'Graph engine'!J22</f>
        <v>29</v>
      </c>
      <c r="D106" s="31">
        <f>'Graph engine'!K22</f>
        <v>70</v>
      </c>
      <c r="E106" s="30">
        <f>'Graph engine'!L22</f>
        <v>15.777586366581478</v>
      </c>
      <c r="F106" s="49">
        <f>IF('Graph engine'!I22=0,"",'Graph engine'!I22)</f>
        <v>118.37342114673953</v>
      </c>
      <c r="G106" s="22">
        <f>'Graph engine'!A22</f>
        <v>5</v>
      </c>
      <c r="H106" s="22">
        <f>IF('Graph engine'!B22=0,"",'Graph engine'!B22)</f>
        <v>55</v>
      </c>
      <c r="I106" s="57">
        <f>IF('Graph engine'!C22=0,"",'Graph engine'!C22)</f>
        <v>13.333333333333334</v>
      </c>
      <c r="J106" s="57">
        <f>IF('Graph engine'!D22=0,"", 'Graph engine'!D22)</f>
        <v>12.833333333333334</v>
      </c>
      <c r="K106" s="57">
        <f>'Graph engine'!E22</f>
        <v>94.707324605278956</v>
      </c>
      <c r="L106" s="58">
        <f>'Graph engine'!F22</f>
        <v>51.35913618181818</v>
      </c>
    </row>
    <row r="107" spans="1:26" ht="15.75" customHeight="1">
      <c r="B107">
        <f>'Graph engine'!A23</f>
        <v>6</v>
      </c>
      <c r="C107" s="31">
        <f>'Graph engine'!J23</f>
        <v>30</v>
      </c>
      <c r="D107" s="31">
        <f>'Graph engine'!K23</f>
        <v>70</v>
      </c>
      <c r="E107" s="30">
        <f>'Graph engine'!L23</f>
        <v>16.419001869163431</v>
      </c>
      <c r="F107" s="49">
        <f>IF('Graph engine'!I23=0,"",'Graph engine'!I23)</f>
        <v>116.90756563827267</v>
      </c>
      <c r="G107" s="22">
        <f>'Graph engine'!A23</f>
        <v>6</v>
      </c>
      <c r="H107" s="22">
        <f>IF('Graph engine'!B23=0,"",'Graph engine'!B23)</f>
        <v>55</v>
      </c>
      <c r="I107" s="57">
        <f>IF('Graph engine'!C23=0,"",'Graph engine'!C23)</f>
        <v>13.333333333333334</v>
      </c>
      <c r="J107" s="57">
        <f>IF('Graph engine'!D23=0,"", 'Graph engine'!D23)</f>
        <v>12.833333333333334</v>
      </c>
      <c r="K107" s="57">
        <f>'Graph engine'!E23</f>
        <v>98.680943474774452</v>
      </c>
      <c r="L107" s="58">
        <f>'Graph engine'!F23</f>
        <v>50.331953458181815</v>
      </c>
    </row>
    <row r="108" spans="1:26" ht="15.75" customHeight="1">
      <c r="B108">
        <f>'Graph engine'!A24</f>
        <v>7</v>
      </c>
      <c r="C108" s="31">
        <f>'Graph engine'!J24</f>
        <v>31</v>
      </c>
      <c r="D108" s="31">
        <f>'Graph engine'!K24</f>
        <v>70</v>
      </c>
      <c r="E108" s="30">
        <f>'Graph engine'!L24</f>
        <v>17.064801526749847</v>
      </c>
      <c r="F108" s="49">
        <f>IF('Graph engine'!I24=0,"",'Graph engine'!I24)</f>
        <v>115.46146759853228</v>
      </c>
      <c r="G108" s="22">
        <f>'Graph engine'!A24</f>
        <v>7</v>
      </c>
      <c r="H108" s="22">
        <f>IF('Graph engine'!B24=0,"",'Graph engine'!B24)</f>
        <v>55</v>
      </c>
      <c r="I108" s="57">
        <f>IF('Graph engine'!C24=0,"",'Graph engine'!C24)</f>
        <v>13.333333333333334</v>
      </c>
      <c r="J108" s="57">
        <f>IF('Graph engine'!D24=0,"", 'Graph engine'!D24)</f>
        <v>12.833333333333334</v>
      </c>
      <c r="K108" s="57">
        <f>'Graph engine'!E24</f>
        <v>102.73565660691274</v>
      </c>
      <c r="L108" s="58">
        <f>'Graph engine'!F24</f>
        <v>49.325314389018175</v>
      </c>
    </row>
    <row r="109" spans="1:26" ht="15.75" customHeight="1">
      <c r="B109">
        <f>'Graph engine'!A25</f>
        <v>8</v>
      </c>
      <c r="C109" s="31">
        <f>'Graph engine'!J25</f>
        <v>32</v>
      </c>
      <c r="D109" s="31">
        <f>'Graph engine'!K25</f>
        <v>70</v>
      </c>
      <c r="E109" s="30">
        <f>'Graph engine'!L25</f>
        <v>17.714991719360729</v>
      </c>
      <c r="F109" s="49">
        <f>IF('Graph engine'!I25=0,"",'Graph engine'!I25)</f>
        <v>114.03516979203731</v>
      </c>
      <c r="G109" s="22">
        <f>'Graph engine'!A25</f>
        <v>8</v>
      </c>
      <c r="H109" s="22">
        <f>IF('Graph engine'!B25=0,"",'Graph engine'!B25)</f>
        <v>55</v>
      </c>
      <c r="I109" s="57">
        <f>IF('Graph engine'!C25=0,"",'Graph engine'!C25)</f>
        <v>13.333333333333334</v>
      </c>
      <c r="J109" s="57">
        <f>IF('Graph engine'!D25=0,"", 'Graph engine'!D25)</f>
        <v>12.833333333333334</v>
      </c>
      <c r="K109" s="57">
        <f>'Graph engine'!E25</f>
        <v>106.87311898664565</v>
      </c>
      <c r="L109" s="58">
        <f>'Graph engine'!F25</f>
        <v>48.338808101237809</v>
      </c>
    </row>
    <row r="110" spans="1:26" ht="15.75" customHeight="1">
      <c r="B110">
        <f>'Graph engine'!A26</f>
        <v>9</v>
      </c>
      <c r="C110" s="31">
        <f>'Graph engine'!J26</f>
        <v>33</v>
      </c>
      <c r="D110" s="31">
        <f>'Graph engine'!K26</f>
        <v>70</v>
      </c>
      <c r="E110" s="30">
        <f>'Graph engine'!L26</f>
        <v>18.369573079218579</v>
      </c>
      <c r="F110" s="23">
        <f>IF('Graph engine'!I26=0,"",'Graph engine'!I26)</f>
        <v>112.62869520617937</v>
      </c>
      <c r="G110" s="22">
        <f>'Graph engine'!A26</f>
        <v>9</v>
      </c>
      <c r="H110" s="22">
        <f>IF('Graph engine'!B26=0,"",'Graph engine'!B26)</f>
        <v>55</v>
      </c>
      <c r="I110" s="22">
        <f>IF('Graph engine'!C26=0,"",'Graph engine'!C26)</f>
        <v>13.333333333333334</v>
      </c>
      <c r="J110" s="22">
        <f>IF('Graph engine'!D26=0,"", 'Graph engine'!D26)</f>
        <v>12.833333333333334</v>
      </c>
      <c r="K110" s="57">
        <f>'Graph engine'!E26</f>
        <v>111.09501937412823</v>
      </c>
      <c r="L110" s="58">
        <f>'Graph engine'!F26</f>
        <v>47.372031939213052</v>
      </c>
    </row>
    <row r="111" spans="1:26" ht="15.75" customHeight="1">
      <c r="B111">
        <f>'Graph engine'!A27</f>
        <v>10</v>
      </c>
      <c r="C111">
        <f>'Graph engine'!J27</f>
        <v>34</v>
      </c>
      <c r="D111">
        <f>'Graph engine'!K27</f>
        <v>70</v>
      </c>
      <c r="E111">
        <f>'Graph engine'!L27</f>
        <v>0</v>
      </c>
      <c r="F111">
        <f>'Graph engine'!M27</f>
        <v>0</v>
      </c>
      <c r="G111" s="22">
        <f>'Graph engine'!A27</f>
        <v>10</v>
      </c>
      <c r="H111" s="57">
        <f>'Graph engine'!B27</f>
        <v>55</v>
      </c>
      <c r="I111" s="57">
        <f>'Graph engine'!C27</f>
        <v>13.333333333333334</v>
      </c>
      <c r="J111" s="22">
        <f>'Graph engine'!D27</f>
        <v>0</v>
      </c>
      <c r="K111" s="22">
        <f>'Graph engine'!E27</f>
        <v>0</v>
      </c>
      <c r="L111" s="22">
        <f>'Graph engine'!F27</f>
        <v>0</v>
      </c>
    </row>
    <row r="112" spans="1:26" ht="15.75" customHeight="1">
      <c r="B112">
        <f>'Graph engine'!A28</f>
        <v>11</v>
      </c>
      <c r="C112">
        <f>'Graph engine'!J28</f>
        <v>35</v>
      </c>
      <c r="D112">
        <f>'Graph engine'!K28</f>
        <v>70</v>
      </c>
      <c r="E112">
        <f>'Graph engine'!L28</f>
        <v>0</v>
      </c>
      <c r="F112">
        <f>'Graph engine'!M28</f>
        <v>0</v>
      </c>
      <c r="G112" s="22">
        <f>'Graph engine'!A28</f>
        <v>11</v>
      </c>
      <c r="H112" s="57">
        <f>'Graph engine'!B28</f>
        <v>55</v>
      </c>
      <c r="I112" s="57">
        <f>'Graph engine'!C28</f>
        <v>13.333333333333334</v>
      </c>
      <c r="J112" s="22">
        <f>'Graph engine'!D28</f>
        <v>0</v>
      </c>
      <c r="K112" s="22">
        <f>'Graph engine'!E28</f>
        <v>0</v>
      </c>
      <c r="L112" s="22">
        <f>'Graph engine'!F28</f>
        <v>0</v>
      </c>
    </row>
    <row r="113" spans="2:12" ht="15.75" customHeight="1">
      <c r="B113">
        <f>'Graph engine'!A29</f>
        <v>12</v>
      </c>
      <c r="C113">
        <f>'Graph engine'!J29</f>
        <v>36</v>
      </c>
      <c r="D113">
        <f>'Graph engine'!K29</f>
        <v>70</v>
      </c>
      <c r="E113">
        <f>'Graph engine'!L29</f>
        <v>0</v>
      </c>
      <c r="F113">
        <f>'Graph engine'!M29</f>
        <v>0</v>
      </c>
      <c r="G113" s="22">
        <f>'Graph engine'!A29</f>
        <v>12</v>
      </c>
      <c r="H113" s="57">
        <f>'Graph engine'!B29</f>
        <v>55</v>
      </c>
      <c r="I113" s="57">
        <f>'Graph engine'!C29</f>
        <v>13.333333333333334</v>
      </c>
      <c r="J113" s="22">
        <f>'Graph engine'!D29</f>
        <v>0</v>
      </c>
      <c r="K113" s="22">
        <f>'Graph engine'!E29</f>
        <v>0</v>
      </c>
      <c r="L113" s="22">
        <f>'Graph engine'!F29</f>
        <v>0</v>
      </c>
    </row>
    <row r="114" spans="2:12" ht="15.75" customHeight="1">
      <c r="B114">
        <f>'Graph engine'!A30</f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Kalkylblad</vt:lpstr>
      </vt:variant>
      <vt:variant>
        <vt:i4>4</vt:i4>
      </vt:variant>
      <vt:variant>
        <vt:lpstr>Diagram</vt:lpstr>
      </vt:variant>
      <vt:variant>
        <vt:i4>7</vt:i4>
      </vt:variant>
    </vt:vector>
  </HeadingPairs>
  <TitlesOfParts>
    <vt:vector size="11" baseType="lpstr">
      <vt:lpstr>Engine</vt:lpstr>
      <vt:lpstr>Graph engine</vt:lpstr>
      <vt:lpstr>DECISIONS INPUT</vt:lpstr>
      <vt:lpstr>Charts Overview</vt:lpstr>
      <vt:lpstr>Chart State expenses at start</vt:lpstr>
      <vt:lpstr>Chart State Income at start</vt:lpstr>
      <vt:lpstr>Chart 1 State Income</vt:lpstr>
      <vt:lpstr>Chart 2 State expenses</vt:lpstr>
      <vt:lpstr>Chart 3 consumer spending</vt:lpstr>
      <vt:lpstr>Chart 4 Numbers in Work and UBI</vt:lpstr>
      <vt:lpstr>Chart 5 Performance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Stephen Hinton</cp:lastModifiedBy>
  <dcterms:created xsi:type="dcterms:W3CDTF">2019-12-30T17:03:48Z</dcterms:created>
  <dcterms:modified xsi:type="dcterms:W3CDTF">2020-01-03T17:37:03Z</dcterms:modified>
</cp:coreProperties>
</file>